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inds\Dropbox (3 Aspens Media)\3 Aspens Media Team Folder\Client Folders\03 - IRCG\00 - Articles In Progress\03-Final and Approved\"/>
    </mc:Choice>
  </mc:AlternateContent>
  <xr:revisionPtr revIDLastSave="0" documentId="13_ncr:1_{8C04597E-F2A4-47C9-9DB8-3029A507ECFE}" xr6:coauthVersionLast="45" xr6:coauthVersionMax="45" xr10:uidLastSave="{00000000-0000-0000-0000-000000000000}"/>
  <bookViews>
    <workbookView xWindow="-108" yWindow="-108" windowWidth="23256" windowHeight="12576" xr2:uid="{D2480097-7270-4CBE-83E8-958FA5F0D4B3}"/>
  </bookViews>
  <sheets>
    <sheet name="Instructions" sheetId="5" r:id="rId1"/>
    <sheet name="Historical P&amp;L" sheetId="1" r:id="rId2"/>
    <sheet name="FTE" sheetId="2" r:id="rId3"/>
    <sheet name="Proforma P&amp;L" sheetId="8" r:id="rId4"/>
    <sheet name="Cash" sheetId="9" r:id="rId5"/>
    <sheet name="Modeling" sheetId="10" r:id="rId6"/>
    <sheet name="Cost Type Table" sheetId="3" state="hidden" r:id="rId7"/>
  </sheets>
  <definedNames>
    <definedName name="_xlnm.Print_Area" localSheetId="0">Instructions!$B:$B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0" l="1"/>
  <c r="E46" i="10"/>
  <c r="F46" i="10"/>
  <c r="G46" i="10"/>
  <c r="H46" i="10"/>
  <c r="I46" i="10"/>
  <c r="J46" i="10"/>
  <c r="K46" i="10"/>
  <c r="L46" i="10"/>
  <c r="M46" i="10"/>
  <c r="C46" i="10"/>
  <c r="D41" i="10"/>
  <c r="E41" i="10"/>
  <c r="F41" i="10"/>
  <c r="G41" i="10"/>
  <c r="H41" i="10"/>
  <c r="I41" i="10"/>
  <c r="J41" i="10"/>
  <c r="K41" i="10"/>
  <c r="L41" i="10"/>
  <c r="M41" i="10"/>
  <c r="C41" i="10"/>
  <c r="D35" i="10"/>
  <c r="E35" i="10"/>
  <c r="F35" i="10"/>
  <c r="G35" i="10"/>
  <c r="H35" i="10"/>
  <c r="I35" i="10"/>
  <c r="J35" i="10"/>
  <c r="K35" i="10"/>
  <c r="L35" i="10"/>
  <c r="M35" i="10"/>
  <c r="C35" i="10"/>
  <c r="D30" i="10"/>
  <c r="E30" i="10"/>
  <c r="F30" i="10"/>
  <c r="G30" i="10"/>
  <c r="H30" i="10"/>
  <c r="I30" i="10"/>
  <c r="J30" i="10"/>
  <c r="K30" i="10"/>
  <c r="L30" i="10"/>
  <c r="M30" i="10"/>
  <c r="C30" i="10"/>
  <c r="D26" i="10"/>
  <c r="E26" i="10"/>
  <c r="F26" i="10"/>
  <c r="G26" i="10"/>
  <c r="H26" i="10"/>
  <c r="I26" i="10"/>
  <c r="J26" i="10"/>
  <c r="K26" i="10"/>
  <c r="L26" i="10"/>
  <c r="M26" i="10"/>
  <c r="C26" i="10"/>
  <c r="D21" i="10"/>
  <c r="E21" i="10"/>
  <c r="F21" i="10"/>
  <c r="G21" i="10"/>
  <c r="H21" i="10"/>
  <c r="I21" i="10"/>
  <c r="J21" i="10"/>
  <c r="K21" i="10"/>
  <c r="L21" i="10"/>
  <c r="M21" i="10"/>
  <c r="C21" i="10"/>
  <c r="D16" i="10"/>
  <c r="E16" i="10"/>
  <c r="F16" i="10"/>
  <c r="G16" i="10"/>
  <c r="H16" i="10"/>
  <c r="I16" i="10"/>
  <c r="J16" i="10"/>
  <c r="K16" i="10"/>
  <c r="L16" i="10"/>
  <c r="M16" i="10"/>
  <c r="C16" i="10" l="1"/>
  <c r="E8" i="2" l="1"/>
  <c r="A45" i="8"/>
  <c r="A42" i="8"/>
  <c r="A39" i="8"/>
  <c r="A36" i="8"/>
  <c r="A33" i="8"/>
  <c r="A30" i="8"/>
  <c r="C42" i="8" l="1"/>
  <c r="C39" i="8"/>
  <c r="C36" i="8"/>
  <c r="D13" i="9" l="1"/>
  <c r="E13" i="9" l="1"/>
  <c r="F13" i="9" s="1"/>
  <c r="G13" i="9" s="1"/>
  <c r="H13" i="9" s="1"/>
  <c r="I13" i="9" s="1"/>
  <c r="J13" i="9" s="1"/>
  <c r="K13" i="9" s="1"/>
  <c r="L13" i="9" s="1"/>
  <c r="M13" i="9" s="1"/>
  <c r="N13" i="9" s="1"/>
  <c r="O13" i="9" s="1"/>
  <c r="AE5" i="1"/>
  <c r="U5" i="1"/>
  <c r="V5" i="1"/>
  <c r="W5" i="1"/>
  <c r="X5" i="1"/>
  <c r="Y5" i="1"/>
  <c r="Z5" i="1"/>
  <c r="AA5" i="1"/>
  <c r="AB5" i="1"/>
  <c r="AC5" i="1"/>
  <c r="AD5" i="1"/>
  <c r="T5" i="1"/>
  <c r="D12" i="9" l="1"/>
  <c r="E12" i="9" l="1"/>
  <c r="F12" i="9" s="1"/>
  <c r="G12" i="9" l="1"/>
  <c r="H12" i="9" l="1"/>
  <c r="I12" i="9" l="1"/>
  <c r="J12" i="9" l="1"/>
  <c r="C50" i="8"/>
  <c r="C45" i="8"/>
  <c r="C33" i="8"/>
  <c r="C30" i="8"/>
  <c r="E9" i="2"/>
  <c r="E10" i="2"/>
  <c r="F10" i="2" s="1"/>
  <c r="E11" i="2"/>
  <c r="E12" i="2"/>
  <c r="E13" i="2"/>
  <c r="E14" i="2"/>
  <c r="E15" i="2"/>
  <c r="E16" i="2"/>
  <c r="E17" i="2"/>
  <c r="E18" i="2"/>
  <c r="E19" i="2"/>
  <c r="E20" i="2"/>
  <c r="E21" i="2"/>
  <c r="E22" i="2"/>
  <c r="E23" i="2"/>
  <c r="E24" i="2"/>
  <c r="E25" i="2"/>
  <c r="K12" i="9" l="1"/>
  <c r="E10" i="1"/>
  <c r="E2" i="1" s="1"/>
  <c r="L12" i="9" l="1"/>
  <c r="M12" i="9" l="1"/>
  <c r="N12" i="9" l="1"/>
  <c r="S19" i="1"/>
  <c r="S10" i="1"/>
  <c r="O12" i="9" l="1"/>
  <c r="C19" i="8"/>
  <c r="C20" i="8"/>
  <c r="C21" i="8"/>
  <c r="C22" i="8"/>
  <c r="S21" i="1"/>
  <c r="R19" i="1"/>
  <c r="Q19" i="1"/>
  <c r="F19" i="1"/>
  <c r="G19" i="1"/>
  <c r="H19" i="1"/>
  <c r="I19" i="1"/>
  <c r="J19" i="1"/>
  <c r="K19" i="1"/>
  <c r="L19" i="1"/>
  <c r="M19" i="1"/>
  <c r="N19" i="1"/>
  <c r="O19" i="1"/>
  <c r="P19" i="1"/>
  <c r="E19" i="1"/>
  <c r="R10" i="1"/>
  <c r="S2" i="1"/>
  <c r="Q10" i="1"/>
  <c r="F10" i="1"/>
  <c r="F2" i="1" s="1"/>
  <c r="G10" i="1"/>
  <c r="G2" i="1" s="1"/>
  <c r="H10" i="1"/>
  <c r="I10" i="1"/>
  <c r="J10" i="1"/>
  <c r="K10" i="1"/>
  <c r="L10" i="1"/>
  <c r="M10" i="1"/>
  <c r="N10" i="1"/>
  <c r="O10" i="1"/>
  <c r="P10" i="1"/>
  <c r="P14" i="8" l="1"/>
  <c r="D7" i="9"/>
  <c r="P13" i="8"/>
  <c r="P12" i="8" s="1"/>
  <c r="AE8" i="1" s="1"/>
  <c r="J2" i="1"/>
  <c r="G14" i="8" s="1"/>
  <c r="I2" i="1"/>
  <c r="F14" i="8" s="1"/>
  <c r="K2" i="1"/>
  <c r="H14" i="8" s="1"/>
  <c r="P2" i="1"/>
  <c r="M14" i="8" s="1"/>
  <c r="O2" i="1"/>
  <c r="L14" i="8" s="1"/>
  <c r="M2" i="1"/>
  <c r="J14" i="8" s="1"/>
  <c r="N2" i="1"/>
  <c r="K14" i="8" s="1"/>
  <c r="L2" i="1"/>
  <c r="I14" i="8" s="1"/>
  <c r="F9" i="2"/>
  <c r="H2" i="1"/>
  <c r="E14" i="8" s="1"/>
  <c r="R21" i="1"/>
  <c r="Q2" i="1"/>
  <c r="N14" i="8" s="1"/>
  <c r="Q21" i="1"/>
  <c r="R2" i="1"/>
  <c r="O14" i="8" s="1"/>
  <c r="P6" i="8"/>
  <c r="E6" i="8" l="1"/>
  <c r="E13" i="8"/>
  <c r="E12" i="8" s="1"/>
  <c r="T8" i="1" s="1"/>
  <c r="P11" i="8"/>
  <c r="AE7" i="1" s="1"/>
  <c r="AE10" i="1" s="1"/>
  <c r="J13" i="8"/>
  <c r="J12" i="8" s="1"/>
  <c r="Y8" i="1" s="1"/>
  <c r="N13" i="8"/>
  <c r="N11" i="8" s="1"/>
  <c r="AC7" i="1" s="1"/>
  <c r="I13" i="8"/>
  <c r="I11" i="8" s="1"/>
  <c r="X7" i="1" s="1"/>
  <c r="M13" i="8"/>
  <c r="M12" i="8" s="1"/>
  <c r="AB8" i="1" s="1"/>
  <c r="H13" i="8"/>
  <c r="H12" i="8" s="1"/>
  <c r="W8" i="1" s="1"/>
  <c r="K13" i="8"/>
  <c r="K11" i="8" s="1"/>
  <c r="Z7" i="1" s="1"/>
  <c r="F13" i="8"/>
  <c r="L13" i="8"/>
  <c r="L11" i="8" s="1"/>
  <c r="AA7" i="1" s="1"/>
  <c r="O13" i="8"/>
  <c r="O12" i="8" s="1"/>
  <c r="AD8" i="1" s="1"/>
  <c r="G13" i="8"/>
  <c r="G11" i="8" s="1"/>
  <c r="V7" i="1" s="1"/>
  <c r="F8" i="2"/>
  <c r="E26" i="2"/>
  <c r="N6" i="8"/>
  <c r="O6" i="8"/>
  <c r="E39" i="8" l="1" a="1"/>
  <c r="E39" i="8" s="1"/>
  <c r="T35" i="1" s="1"/>
  <c r="E36" i="8" a="1"/>
  <c r="E36" i="8" s="1"/>
  <c r="T32" i="1" s="1"/>
  <c r="E33" i="8" a="1"/>
  <c r="E33" i="8" s="1"/>
  <c r="T29" i="1" s="1"/>
  <c r="E42" i="8" a="1"/>
  <c r="E42" i="8" s="1"/>
  <c r="T38" i="1" s="1"/>
  <c r="E50" i="8" a="1"/>
  <c r="E50" i="8" s="1"/>
  <c r="T46" i="1" s="1"/>
  <c r="E30" i="8"/>
  <c r="E45" i="8" a="1"/>
  <c r="E45" i="8" s="1"/>
  <c r="T41" i="1" s="1"/>
  <c r="O11" i="8"/>
  <c r="J11" i="8"/>
  <c r="Y7" i="1" s="1"/>
  <c r="G12" i="8"/>
  <c r="V8" i="1" s="1"/>
  <c r="V10" i="1" s="1"/>
  <c r="L12" i="8"/>
  <c r="AA8" i="1" s="1"/>
  <c r="AA10" i="1" s="1"/>
  <c r="I12" i="8"/>
  <c r="X8" i="1" s="1"/>
  <c r="X10" i="1" s="1"/>
  <c r="E11" i="8"/>
  <c r="T7" i="1" s="1"/>
  <c r="K12" i="8"/>
  <c r="Z8" i="1" s="1"/>
  <c r="Z10" i="1" s="1"/>
  <c r="H11" i="8"/>
  <c r="W7" i="1" s="1"/>
  <c r="N12" i="8"/>
  <c r="AC8" i="1" s="1"/>
  <c r="AC10" i="1" s="1"/>
  <c r="M11" i="8"/>
  <c r="AB7" i="1" s="1"/>
  <c r="F12" i="8"/>
  <c r="U8" i="1" s="1"/>
  <c r="F11" i="8"/>
  <c r="U7" i="1" s="1"/>
  <c r="E10" i="10" l="1"/>
  <c r="E11" i="10" s="1"/>
  <c r="J10" i="10"/>
  <c r="J11" i="10" s="1"/>
  <c r="I10" i="10"/>
  <c r="I11" i="10" s="1"/>
  <c r="L10" i="10"/>
  <c r="L11" i="10" s="1"/>
  <c r="G10" i="10"/>
  <c r="G11" i="10" s="1"/>
  <c r="U10" i="1"/>
  <c r="AD7" i="1"/>
  <c r="AD10" i="1" s="1"/>
  <c r="AB10" i="1"/>
  <c r="K10" i="10" s="1"/>
  <c r="K11" i="10" s="1"/>
  <c r="Y10" i="1"/>
  <c r="H10" i="10" s="1"/>
  <c r="H11" i="10" s="1"/>
  <c r="W10" i="1"/>
  <c r="F10" i="10" s="1"/>
  <c r="F11" i="10" s="1"/>
  <c r="F11" i="2"/>
  <c r="F12" i="2"/>
  <c r="F13" i="2"/>
  <c r="F14" i="2"/>
  <c r="F15" i="2"/>
  <c r="F16" i="2"/>
  <c r="F17" i="2"/>
  <c r="F18" i="2"/>
  <c r="F19" i="2"/>
  <c r="F20" i="2"/>
  <c r="F21" i="2"/>
  <c r="F22" i="2"/>
  <c r="F23" i="2"/>
  <c r="F24" i="2"/>
  <c r="F25" i="2"/>
  <c r="D26" i="2"/>
  <c r="C26" i="2"/>
  <c r="M10" i="10" l="1"/>
  <c r="M11" i="10" s="1"/>
  <c r="D10" i="10"/>
  <c r="D11" i="10" s="1"/>
  <c r="K7" i="9"/>
  <c r="I7" i="9"/>
  <c r="N7" i="9"/>
  <c r="H7" i="9"/>
  <c r="M7" i="9"/>
  <c r="J7" i="9"/>
  <c r="L7" i="9"/>
  <c r="O7" i="9"/>
  <c r="O21" i="1"/>
  <c r="M21" i="1"/>
  <c r="F26" i="2"/>
  <c r="K21" i="1"/>
  <c r="F21" i="1"/>
  <c r="N21" i="1"/>
  <c r="P21" i="1"/>
  <c r="I21" i="1"/>
  <c r="G21" i="1"/>
  <c r="J21" i="1"/>
  <c r="H21" i="1"/>
  <c r="L21" i="1"/>
  <c r="E21" i="1"/>
  <c r="S22" i="1"/>
  <c r="P26" i="8" s="1"/>
  <c r="P25" i="8" s="1"/>
  <c r="P23" i="8" s="1"/>
  <c r="R22" i="1"/>
  <c r="O26" i="8" s="1"/>
  <c r="Q22" i="1"/>
  <c r="N26" i="8" s="1"/>
  <c r="L50" i="10" l="1"/>
  <c r="T26" i="1"/>
  <c r="T43" i="1" s="1"/>
  <c r="G22" i="1"/>
  <c r="O22" i="1"/>
  <c r="L26" i="8" s="1"/>
  <c r="L25" i="8" s="1"/>
  <c r="L23" i="8" s="1"/>
  <c r="J50" i="10" s="1"/>
  <c r="P22" i="1"/>
  <c r="M26" i="8" s="1"/>
  <c r="M25" i="8" s="1"/>
  <c r="M23" i="8" s="1"/>
  <c r="K50" i="10" s="1"/>
  <c r="I22" i="1"/>
  <c r="F26" i="8" s="1"/>
  <c r="F25" i="8" s="1"/>
  <c r="F23" i="8" s="1"/>
  <c r="N22" i="1"/>
  <c r="K26" i="8" s="1"/>
  <c r="K25" i="8" s="1"/>
  <c r="K23" i="8" s="1"/>
  <c r="I50" i="10" s="1"/>
  <c r="J22" i="1"/>
  <c r="G26" i="8" s="1"/>
  <c r="G25" i="8" s="1"/>
  <c r="G23" i="8" s="1"/>
  <c r="F22" i="1"/>
  <c r="K22" i="1"/>
  <c r="H26" i="8" s="1"/>
  <c r="H25" i="8" s="1"/>
  <c r="H23" i="8" s="1"/>
  <c r="F50" i="10" s="1"/>
  <c r="F52" i="10" s="1"/>
  <c r="M22" i="1"/>
  <c r="J26" i="8" s="1"/>
  <c r="J25" i="8" s="1"/>
  <c r="J23" i="8" s="1"/>
  <c r="H50" i="10" s="1"/>
  <c r="L22" i="1"/>
  <c r="I26" i="8" s="1"/>
  <c r="I25" i="8" s="1"/>
  <c r="I23" i="8" s="1"/>
  <c r="G50" i="10" s="1"/>
  <c r="H22" i="1"/>
  <c r="E26" i="8" s="1"/>
  <c r="E25" i="8" s="1"/>
  <c r="E23" i="8" s="1"/>
  <c r="P21" i="8"/>
  <c r="P19" i="8"/>
  <c r="P20" i="8"/>
  <c r="P18" i="8"/>
  <c r="AE14" i="1" s="1"/>
  <c r="P17" i="8"/>
  <c r="AE13" i="1" s="1"/>
  <c r="P22" i="8"/>
  <c r="O25" i="8"/>
  <c r="O23" i="8" s="1"/>
  <c r="M50" i="10" s="1"/>
  <c r="N25" i="8"/>
  <c r="N23" i="8" s="1"/>
  <c r="M6" i="8"/>
  <c r="I6" i="8"/>
  <c r="L6" i="8"/>
  <c r="E22" i="1"/>
  <c r="J6" i="8"/>
  <c r="F6" i="8"/>
  <c r="K6" i="8"/>
  <c r="H6" i="8"/>
  <c r="G6" i="8"/>
  <c r="K43" i="1"/>
  <c r="K48" i="1" s="1"/>
  <c r="N43" i="1"/>
  <c r="N48" i="1" s="1"/>
  <c r="M43" i="1"/>
  <c r="S43" i="1"/>
  <c r="S48" i="1" s="1"/>
  <c r="J43" i="1"/>
  <c r="J48" i="1" s="1"/>
  <c r="H43" i="1"/>
  <c r="L43" i="1"/>
  <c r="L48" i="1" s="1"/>
  <c r="I43" i="1"/>
  <c r="P43" i="1"/>
  <c r="P48" i="1" s="1"/>
  <c r="O43" i="1"/>
  <c r="O48" i="1" s="1"/>
  <c r="G43" i="1"/>
  <c r="F43" i="1"/>
  <c r="F48" i="1" s="1"/>
  <c r="Q43" i="1"/>
  <c r="Q48" i="1" s="1"/>
  <c r="R43" i="1"/>
  <c r="F30" i="8" l="1"/>
  <c r="G30" i="8" s="1"/>
  <c r="H30" i="8" s="1"/>
  <c r="I30" i="8" s="1"/>
  <c r="J30" i="8" s="1"/>
  <c r="K30" i="8" s="1"/>
  <c r="L30" i="8" s="1"/>
  <c r="M30" i="8" s="1"/>
  <c r="N30" i="8" s="1"/>
  <c r="O30" i="8" s="1"/>
  <c r="F45" i="8"/>
  <c r="F50" i="8"/>
  <c r="F42" i="8"/>
  <c r="F36" i="8"/>
  <c r="F33" i="8"/>
  <c r="F39" i="8"/>
  <c r="K22" i="8"/>
  <c r="I22" i="8"/>
  <c r="I19" i="8"/>
  <c r="K21" i="8"/>
  <c r="K20" i="8"/>
  <c r="K19" i="8"/>
  <c r="K17" i="8"/>
  <c r="Z13" i="1" s="1"/>
  <c r="K18" i="8"/>
  <c r="Z14" i="1" s="1"/>
  <c r="J22" i="8"/>
  <c r="J21" i="8"/>
  <c r="J19" i="8"/>
  <c r="J18" i="8"/>
  <c r="Y14" i="1" s="1"/>
  <c r="J20" i="8"/>
  <c r="J17" i="8"/>
  <c r="Y13" i="1" s="1"/>
  <c r="G19" i="8"/>
  <c r="I17" i="8"/>
  <c r="X13" i="1" s="1"/>
  <c r="I21" i="8"/>
  <c r="G22" i="8"/>
  <c r="L20" i="8"/>
  <c r="G17" i="8"/>
  <c r="V13" i="1" s="1"/>
  <c r="G21" i="8"/>
  <c r="G20" i="8"/>
  <c r="H20" i="8"/>
  <c r="I48" i="1"/>
  <c r="I49" i="1" s="1"/>
  <c r="G18" i="8"/>
  <c r="V14" i="1" s="1"/>
  <c r="H48" i="1"/>
  <c r="H49" i="1" s="1"/>
  <c r="H17" i="8"/>
  <c r="W13" i="1" s="1"/>
  <c r="N49" i="1"/>
  <c r="L22" i="8"/>
  <c r="J49" i="1"/>
  <c r="L18" i="8"/>
  <c r="AA14" i="1" s="1"/>
  <c r="H21" i="8"/>
  <c r="M48" i="1"/>
  <c r="M49" i="1" s="1"/>
  <c r="G48" i="1"/>
  <c r="G49" i="1" s="1"/>
  <c r="R48" i="1"/>
  <c r="R49" i="1" s="1"/>
  <c r="L17" i="8"/>
  <c r="AA13" i="1" s="1"/>
  <c r="H19" i="8"/>
  <c r="L49" i="1"/>
  <c r="H22" i="8"/>
  <c r="F19" i="8"/>
  <c r="I20" i="8"/>
  <c r="F20" i="8"/>
  <c r="F17" i="8"/>
  <c r="U13" i="1" s="1"/>
  <c r="F49" i="1"/>
  <c r="F18" i="8"/>
  <c r="U14" i="1" s="1"/>
  <c r="F22" i="8"/>
  <c r="O49" i="1"/>
  <c r="L21" i="8"/>
  <c r="P49" i="1"/>
  <c r="L19" i="8"/>
  <c r="H18" i="8"/>
  <c r="W14" i="1" s="1"/>
  <c r="W19" i="1" s="1"/>
  <c r="K49" i="1"/>
  <c r="F21" i="8"/>
  <c r="I18" i="8"/>
  <c r="X14" i="1" s="1"/>
  <c r="M21" i="8"/>
  <c r="U26" i="1"/>
  <c r="E21" i="8"/>
  <c r="T10" i="1"/>
  <c r="AE19" i="1"/>
  <c r="AE21" i="1" s="1"/>
  <c r="G52" i="10"/>
  <c r="M17" i="8"/>
  <c r="AB13" i="1" s="1"/>
  <c r="M18" i="8"/>
  <c r="AB14" i="1" s="1"/>
  <c r="M20" i="8"/>
  <c r="M22" i="8"/>
  <c r="M19" i="8"/>
  <c r="E20" i="8"/>
  <c r="E18" i="8"/>
  <c r="T14" i="1" s="1"/>
  <c r="E22" i="8"/>
  <c r="E17" i="8"/>
  <c r="T13" i="1" s="1"/>
  <c r="E19" i="8"/>
  <c r="N22" i="8"/>
  <c r="N20" i="8"/>
  <c r="N17" i="8"/>
  <c r="AC13" i="1" s="1"/>
  <c r="N18" i="8"/>
  <c r="AC14" i="1" s="1"/>
  <c r="N21" i="8"/>
  <c r="N19" i="8"/>
  <c r="O21" i="8"/>
  <c r="O18" i="8"/>
  <c r="AD14" i="1" s="1"/>
  <c r="O19" i="8"/>
  <c r="O17" i="8"/>
  <c r="AD13" i="1" s="1"/>
  <c r="O22" i="8"/>
  <c r="O20" i="8"/>
  <c r="Q49" i="1"/>
  <c r="D11" i="9" l="1"/>
  <c r="D6" i="9"/>
  <c r="G39" i="8"/>
  <c r="U35" i="1"/>
  <c r="G33" i="8"/>
  <c r="U29" i="1"/>
  <c r="G36" i="8"/>
  <c r="U32" i="1"/>
  <c r="G42" i="8"/>
  <c r="U38" i="1"/>
  <c r="G50" i="8"/>
  <c r="U46" i="1"/>
  <c r="G45" i="8"/>
  <c r="U41" i="1"/>
  <c r="Z19" i="1"/>
  <c r="Z21" i="1" s="1"/>
  <c r="Z22" i="1" s="1"/>
  <c r="I8" i="10" s="1"/>
  <c r="U19" i="1"/>
  <c r="U21" i="1" s="1"/>
  <c r="U22" i="1" s="1"/>
  <c r="D8" i="10" s="1"/>
  <c r="AA19" i="1"/>
  <c r="AA21" i="1" s="1"/>
  <c r="AA22" i="1" s="1"/>
  <c r="J8" i="10" s="1"/>
  <c r="Y19" i="1"/>
  <c r="Y21" i="1" s="1"/>
  <c r="Y22" i="1" s="1"/>
  <c r="H8" i="10" s="1"/>
  <c r="V19" i="1"/>
  <c r="C10" i="10"/>
  <c r="C11" i="10" s="1"/>
  <c r="K11" i="9" a="1"/>
  <c r="K11" i="9" s="1"/>
  <c r="J11" i="9" a="1"/>
  <c r="J11" i="9" s="1"/>
  <c r="I11" i="9" a="1"/>
  <c r="I11" i="9" s="1"/>
  <c r="X19" i="1"/>
  <c r="X21" i="1" s="1"/>
  <c r="H11" i="9" a="1"/>
  <c r="H11" i="9" s="1"/>
  <c r="V26" i="1"/>
  <c r="AE22" i="1"/>
  <c r="E7" i="9"/>
  <c r="F7" i="9"/>
  <c r="D50" i="10" s="1"/>
  <c r="G7" i="9"/>
  <c r="E50" i="10" s="1"/>
  <c r="N11" i="9" a="1"/>
  <c r="N11" i="9" s="1"/>
  <c r="E11" i="9" a="1"/>
  <c r="E11" i="9" s="1"/>
  <c r="AB19" i="1"/>
  <c r="AB21" i="1" s="1"/>
  <c r="AD19" i="1"/>
  <c r="AD21" i="1" s="1"/>
  <c r="M11" i="9" a="1"/>
  <c r="M11" i="9" s="1"/>
  <c r="V21" i="1"/>
  <c r="T19" i="1"/>
  <c r="D8" i="9"/>
  <c r="E8" i="9" s="1"/>
  <c r="F11" i="9" a="1"/>
  <c r="F11" i="9" s="1"/>
  <c r="O11" i="9" a="1"/>
  <c r="O11" i="9" s="1"/>
  <c r="L11" i="9" a="1"/>
  <c r="L11" i="9" s="1"/>
  <c r="AC19" i="1"/>
  <c r="AC21" i="1" s="1"/>
  <c r="G11" i="9" a="1"/>
  <c r="G11" i="9" s="1"/>
  <c r="W21" i="1"/>
  <c r="H52" i="10"/>
  <c r="S49" i="1"/>
  <c r="E47" i="8"/>
  <c r="E53" i="8" s="1"/>
  <c r="C50" i="10" l="1"/>
  <c r="A49" i="10"/>
  <c r="F8" i="9"/>
  <c r="G8" i="9" s="1"/>
  <c r="H8" i="9" s="1"/>
  <c r="I8" i="9" s="1"/>
  <c r="J8" i="9" s="1"/>
  <c r="K8" i="9" s="1"/>
  <c r="L8" i="9" s="1"/>
  <c r="M8" i="9" s="1"/>
  <c r="N8" i="9" s="1"/>
  <c r="O8" i="9" s="1"/>
  <c r="A59" i="10"/>
  <c r="U43" i="1"/>
  <c r="H45" i="8"/>
  <c r="V41" i="1"/>
  <c r="D55" i="10"/>
  <c r="D57" i="10" s="1"/>
  <c r="M55" i="10"/>
  <c r="M57" i="10" s="1"/>
  <c r="U48" i="1"/>
  <c r="U49" i="1" s="1"/>
  <c r="H50" i="8"/>
  <c r="V46" i="1"/>
  <c r="K55" i="10"/>
  <c r="K57" i="10" s="1"/>
  <c r="F55" i="10"/>
  <c r="F57" i="10" s="1"/>
  <c r="H42" i="8"/>
  <c r="V38" i="1"/>
  <c r="A54" i="10"/>
  <c r="C55" i="10"/>
  <c r="C57" i="10" s="1"/>
  <c r="G55" i="10"/>
  <c r="G57" i="10" s="1"/>
  <c r="H55" i="10"/>
  <c r="H57" i="10" s="1"/>
  <c r="H36" i="8"/>
  <c r="V32" i="1"/>
  <c r="I55" i="10"/>
  <c r="I57" i="10" s="1"/>
  <c r="L55" i="10"/>
  <c r="L57" i="10" s="1"/>
  <c r="H33" i="8"/>
  <c r="V29" i="1"/>
  <c r="E55" i="10"/>
  <c r="E57" i="10" s="1"/>
  <c r="H39" i="8"/>
  <c r="V35" i="1"/>
  <c r="J55" i="10"/>
  <c r="J57" i="10" s="1"/>
  <c r="AB22" i="1"/>
  <c r="K8" i="10" s="1"/>
  <c r="X22" i="1"/>
  <c r="G8" i="10" s="1"/>
  <c r="W26" i="1"/>
  <c r="AD22" i="1"/>
  <c r="M8" i="10" s="1"/>
  <c r="W22" i="1"/>
  <c r="F8" i="10" s="1"/>
  <c r="AC22" i="1"/>
  <c r="L8" i="10" s="1"/>
  <c r="V22" i="1"/>
  <c r="E8" i="10" s="1"/>
  <c r="E52" i="10"/>
  <c r="D52" i="10"/>
  <c r="C52" i="10"/>
  <c r="C2" i="10"/>
  <c r="T21" i="1"/>
  <c r="T48" i="1" s="1"/>
  <c r="I52" i="10"/>
  <c r="F47" i="8"/>
  <c r="V43" i="1" l="1"/>
  <c r="V48" i="1" s="1"/>
  <c r="V49" i="1" s="1"/>
  <c r="I42" i="8"/>
  <c r="W38" i="1"/>
  <c r="I50" i="8"/>
  <c r="W46" i="1"/>
  <c r="I36" i="8"/>
  <c r="W32" i="1"/>
  <c r="I33" i="8"/>
  <c r="W29" i="1"/>
  <c r="I39" i="8"/>
  <c r="W35" i="1"/>
  <c r="I45" i="8"/>
  <c r="W41" i="1"/>
  <c r="T49" i="1"/>
  <c r="E6" i="9"/>
  <c r="C60" i="10"/>
  <c r="C62" i="10" s="1"/>
  <c r="C4" i="10" s="1"/>
  <c r="X26" i="1"/>
  <c r="T22" i="1"/>
  <c r="C8" i="10" s="1"/>
  <c r="J52" i="10"/>
  <c r="E54" i="8"/>
  <c r="F53" i="8"/>
  <c r="G47" i="8"/>
  <c r="G53" i="8" s="1"/>
  <c r="W43" i="1" l="1"/>
  <c r="W48" i="1" s="1"/>
  <c r="W49" i="1" s="1"/>
  <c r="J39" i="8"/>
  <c r="X35" i="1"/>
  <c r="J33" i="8"/>
  <c r="X29" i="1"/>
  <c r="J36" i="8"/>
  <c r="X32" i="1"/>
  <c r="J50" i="8"/>
  <c r="X46" i="1"/>
  <c r="J42" i="8"/>
  <c r="X38" i="1"/>
  <c r="J45" i="8"/>
  <c r="X41" i="1"/>
  <c r="F6" i="9"/>
  <c r="C3" i="10"/>
  <c r="C5" i="10" s="1"/>
  <c r="D2" i="10" s="1"/>
  <c r="D60" i="10"/>
  <c r="D62" i="10" s="1"/>
  <c r="D4" i="10" s="1"/>
  <c r="Y26" i="1"/>
  <c r="K52" i="10"/>
  <c r="F54" i="8"/>
  <c r="G54" i="8"/>
  <c r="H47" i="8"/>
  <c r="H53" i="8" s="1"/>
  <c r="X43" i="1" l="1"/>
  <c r="X48" i="1" s="1"/>
  <c r="X49" i="1" s="1"/>
  <c r="K50" i="8"/>
  <c r="Y46" i="1"/>
  <c r="K42" i="8"/>
  <c r="Y38" i="1"/>
  <c r="K45" i="8"/>
  <c r="Y41" i="1"/>
  <c r="K33" i="8"/>
  <c r="Y29" i="1"/>
  <c r="Y32" i="1"/>
  <c r="K36" i="8"/>
  <c r="K39" i="8"/>
  <c r="Y35" i="1"/>
  <c r="G6" i="9"/>
  <c r="D3" i="10"/>
  <c r="D5" i="10" s="1"/>
  <c r="E2" i="10" s="1"/>
  <c r="E60" i="10"/>
  <c r="E62" i="10" s="1"/>
  <c r="E4" i="10" s="1"/>
  <c r="Z26" i="1"/>
  <c r="L52" i="10"/>
  <c r="M52" i="10"/>
  <c r="H54" i="8"/>
  <c r="I47" i="8"/>
  <c r="I53" i="8" s="1"/>
  <c r="Y43" i="1" l="1"/>
  <c r="Y48" i="1" s="1"/>
  <c r="Y49" i="1" s="1"/>
  <c r="L36" i="8"/>
  <c r="Z32" i="1"/>
  <c r="L39" i="8"/>
  <c r="Z35" i="1"/>
  <c r="L42" i="8"/>
  <c r="Z38" i="1"/>
  <c r="L45" i="8"/>
  <c r="Z41" i="1"/>
  <c r="L33" i="8"/>
  <c r="Z29" i="1"/>
  <c r="L50" i="8"/>
  <c r="Z46" i="1"/>
  <c r="H6" i="9"/>
  <c r="E3" i="10"/>
  <c r="E5" i="10" s="1"/>
  <c r="F2" i="10" s="1"/>
  <c r="F60" i="10"/>
  <c r="F62" i="10" s="1"/>
  <c r="F4" i="10" s="1"/>
  <c r="AA26" i="1"/>
  <c r="I54" i="8"/>
  <c r="J47" i="8"/>
  <c r="J53" i="8" s="1"/>
  <c r="Z43" i="1" l="1"/>
  <c r="Z48" i="1" s="1"/>
  <c r="Z49" i="1" s="1"/>
  <c r="M50" i="8"/>
  <c r="AA46" i="1"/>
  <c r="M45" i="8"/>
  <c r="AA41" i="1"/>
  <c r="M33" i="8"/>
  <c r="AA29" i="1"/>
  <c r="M39" i="8"/>
  <c r="AA35" i="1"/>
  <c r="M42" i="8"/>
  <c r="AA38" i="1"/>
  <c r="M36" i="8"/>
  <c r="AA32" i="1"/>
  <c r="I6" i="9"/>
  <c r="F3" i="10"/>
  <c r="F5" i="10" s="1"/>
  <c r="G2" i="10" s="1"/>
  <c r="G60" i="10"/>
  <c r="G62" i="10" s="1"/>
  <c r="G4" i="10" s="1"/>
  <c r="AB26" i="1"/>
  <c r="J54" i="8"/>
  <c r="K47" i="8"/>
  <c r="K53" i="8" s="1"/>
  <c r="AA43" i="1" l="1"/>
  <c r="AA48" i="1" s="1"/>
  <c r="AA49" i="1" s="1"/>
  <c r="N42" i="8"/>
  <c r="AB38" i="1"/>
  <c r="N33" i="8"/>
  <c r="AB29" i="1"/>
  <c r="N39" i="8"/>
  <c r="AB35" i="1"/>
  <c r="N36" i="8"/>
  <c r="AB32" i="1"/>
  <c r="N45" i="8"/>
  <c r="AB41" i="1"/>
  <c r="N50" i="8"/>
  <c r="AB46" i="1"/>
  <c r="J6" i="9"/>
  <c r="G3" i="10"/>
  <c r="G5" i="10" s="1"/>
  <c r="H2" i="10" s="1"/>
  <c r="H60" i="10"/>
  <c r="H62" i="10" s="1"/>
  <c r="H4" i="10" s="1"/>
  <c r="P30" i="8"/>
  <c r="AC26" i="1"/>
  <c r="K54" i="8"/>
  <c r="L47" i="8"/>
  <c r="L53" i="8" s="1"/>
  <c r="AB43" i="1" l="1"/>
  <c r="O45" i="8"/>
  <c r="AC41" i="1"/>
  <c r="O39" i="8"/>
  <c r="AC35" i="1"/>
  <c r="O50" i="8"/>
  <c r="AC46" i="1"/>
  <c r="AB48" i="1"/>
  <c r="AB49" i="1" s="1"/>
  <c r="O33" i="8"/>
  <c r="AC29" i="1"/>
  <c r="O36" i="8"/>
  <c r="AC32" i="1"/>
  <c r="O42" i="8"/>
  <c r="AC38" i="1"/>
  <c r="K6" i="9"/>
  <c r="H3" i="10"/>
  <c r="H5" i="10" s="1"/>
  <c r="I2" i="10" s="1"/>
  <c r="I60" i="10"/>
  <c r="I62" i="10" s="1"/>
  <c r="I4" i="10" s="1"/>
  <c r="AD26" i="1"/>
  <c r="L54" i="8"/>
  <c r="M47" i="8"/>
  <c r="AC43" i="1" l="1"/>
  <c r="AC48" i="1" s="1"/>
  <c r="AC49" i="1" s="1"/>
  <c r="P42" i="8"/>
  <c r="AE38" i="1" s="1"/>
  <c r="AD38" i="1"/>
  <c r="P50" i="8"/>
  <c r="AE46" i="1" s="1"/>
  <c r="AD46" i="1"/>
  <c r="P33" i="8"/>
  <c r="AE29" i="1" s="1"/>
  <c r="AD29" i="1"/>
  <c r="P36" i="8"/>
  <c r="AE32" i="1" s="1"/>
  <c r="AD32" i="1"/>
  <c r="P39" i="8"/>
  <c r="AE35" i="1" s="1"/>
  <c r="AD35" i="1"/>
  <c r="P45" i="8"/>
  <c r="AE41" i="1" s="1"/>
  <c r="AD41" i="1"/>
  <c r="L6" i="9"/>
  <c r="AE26" i="1"/>
  <c r="I3" i="10"/>
  <c r="I5" i="10" s="1"/>
  <c r="J2" i="10" s="1"/>
  <c r="J60" i="10"/>
  <c r="J62" i="10" s="1"/>
  <c r="J4" i="10" s="1"/>
  <c r="N47" i="8"/>
  <c r="M53" i="8"/>
  <c r="AD43" i="1" l="1"/>
  <c r="AD48" i="1" s="1"/>
  <c r="AD49" i="1" s="1"/>
  <c r="AE43" i="1"/>
  <c r="AE48" i="1" s="1"/>
  <c r="AE49" i="1" s="1"/>
  <c r="M6" i="9"/>
  <c r="J3" i="10"/>
  <c r="J5" i="10" s="1"/>
  <c r="K2" i="10" s="1"/>
  <c r="K60" i="10"/>
  <c r="K62" i="10" s="1"/>
  <c r="K4" i="10" s="1"/>
  <c r="N53" i="8"/>
  <c r="M54" i="8"/>
  <c r="P47" i="8"/>
  <c r="P53" i="8" s="1"/>
  <c r="O47" i="8"/>
  <c r="O53" i="8" s="1"/>
  <c r="N6" i="9" l="1"/>
  <c r="K3" i="10"/>
  <c r="K5" i="10" s="1"/>
  <c r="L2" i="10" s="1"/>
  <c r="M60" i="10"/>
  <c r="M62" i="10" s="1"/>
  <c r="M4" i="10" s="1"/>
  <c r="L60" i="10"/>
  <c r="L62" i="10" s="1"/>
  <c r="L4" i="10" s="1"/>
  <c r="O54" i="8"/>
  <c r="P54" i="8"/>
  <c r="N54" i="8"/>
  <c r="L3" i="10" l="1"/>
  <c r="L5" i="10" s="1"/>
  <c r="M2" i="10" s="1"/>
  <c r="O6" i="9"/>
  <c r="M3" i="10" l="1"/>
  <c r="M5" i="10" s="1"/>
  <c r="E43" i="1" l="1"/>
  <c r="E48" i="1" s="1"/>
  <c r="E4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<sst xmlns="http://schemas.openxmlformats.org/spreadsheetml/2006/main" count="284" uniqueCount="156">
  <si>
    <t>General &amp; Administrative Expenses</t>
  </si>
  <si>
    <t>Sales &amp; Marketing Expenses</t>
  </si>
  <si>
    <t>Delivery Expenses (expenses related to delivery of merchandise to customers)</t>
  </si>
  <si>
    <t>Warehouse Expenses (expenses related to receiving and storing goods in the warehouse)</t>
  </si>
  <si>
    <t>Occupancy Expenses</t>
  </si>
  <si>
    <t>Product Specialists &amp; Other Sales</t>
  </si>
  <si>
    <t>COGS</t>
  </si>
  <si>
    <t>Sales</t>
  </si>
  <si>
    <t>Gross Profit</t>
  </si>
  <si>
    <t>Interest Income (Expense)</t>
  </si>
  <si>
    <t xml:space="preserve">Gain or (Loss) on Sale of Fixed Assets </t>
  </si>
  <si>
    <t>Discounts Earned</t>
  </si>
  <si>
    <t>Customer Discounts</t>
  </si>
  <si>
    <t>Inbound Freight</t>
  </si>
  <si>
    <t xml:space="preserve"> </t>
  </si>
  <si>
    <t>Marketing</t>
  </si>
  <si>
    <t>Pricing</t>
  </si>
  <si>
    <t>Support</t>
  </si>
  <si>
    <t>Total Sales and Marketing Expenses</t>
  </si>
  <si>
    <t>Total Warehouse Expenses</t>
  </si>
  <si>
    <t>Total Occupancy Expenses</t>
  </si>
  <si>
    <t>Total Information Technology Expenses</t>
  </si>
  <si>
    <t>Bad Debts</t>
  </si>
  <si>
    <t>Total General &amp; Administrative Expenses</t>
  </si>
  <si>
    <t>Total Operating Expenses</t>
  </si>
  <si>
    <t xml:space="preserve">Account </t>
  </si>
  <si>
    <t>Type of Account</t>
  </si>
  <si>
    <t>Cost Type</t>
  </si>
  <si>
    <t>Warehouse</t>
  </si>
  <si>
    <t>Information Technology</t>
  </si>
  <si>
    <t>Accounting/Finance</t>
  </si>
  <si>
    <t>Clerical/Office</t>
  </si>
  <si>
    <t>Other Income/Expense</t>
  </si>
  <si>
    <t>Fixed</t>
  </si>
  <si>
    <t>Variable</t>
  </si>
  <si>
    <t>Semi-Variable (75%)</t>
  </si>
  <si>
    <t>Semi-Variable (50%)</t>
  </si>
  <si>
    <t>Semi-Variable (25%)</t>
  </si>
  <si>
    <t>Summary</t>
  </si>
  <si>
    <t>Total Other Income/Expense</t>
  </si>
  <si>
    <t>Revenue as a % to Prior Year Revenue for Same Period</t>
  </si>
  <si>
    <t>Executives and Senior Leadership</t>
  </si>
  <si>
    <t>Sales Management</t>
  </si>
  <si>
    <t>Outside Sales</t>
  </si>
  <si>
    <t>Inside Sales</t>
  </si>
  <si>
    <t>Counter Sales</t>
  </si>
  <si>
    <t>Delivery/Drivers</t>
  </si>
  <si>
    <t>Purchasing</t>
  </si>
  <si>
    <t>Credit &amp; Collection</t>
  </si>
  <si>
    <t>Human Resources &amp; Payroll</t>
  </si>
  <si>
    <t>All Other Employees</t>
  </si>
  <si>
    <t>Cash on-hand</t>
  </si>
  <si>
    <t>Inventory</t>
  </si>
  <si>
    <t>Current portion of long-term debt</t>
  </si>
  <si>
    <t>Accounts payable</t>
  </si>
  <si>
    <t>Headcount</t>
  </si>
  <si>
    <t>Total Wages</t>
  </si>
  <si>
    <t>Total Net Sales</t>
  </si>
  <si>
    <t>Total COGS</t>
  </si>
  <si>
    <t>Gross Profit %</t>
  </si>
  <si>
    <t>Net Income before tax</t>
  </si>
  <si>
    <t xml:space="preserve">Total </t>
  </si>
  <si>
    <t>Rebates</t>
  </si>
  <si>
    <t>Other COGS</t>
  </si>
  <si>
    <t>Information Technology Expenses (licenses, programming and data processing)</t>
  </si>
  <si>
    <t>FTE Employees</t>
  </si>
  <si>
    <t>Estimated Burden Cost</t>
  </si>
  <si>
    <t>Total Cost</t>
  </si>
  <si>
    <t>Additional cash</t>
  </si>
  <si>
    <t>Accounts receivable</t>
  </si>
  <si>
    <t>Cash adjustment (capital expenditure, etc.)</t>
  </si>
  <si>
    <t>Stock Sales less returns and allowances</t>
  </si>
  <si>
    <t>Direct Sales less returns and allowances</t>
  </si>
  <si>
    <t>Cash Adjustment</t>
  </si>
  <si>
    <t>Personnel Cost Adjustment</t>
  </si>
  <si>
    <t>Other Adjustment</t>
  </si>
  <si>
    <t>Adjusted Ending Cash</t>
  </si>
  <si>
    <t>Average Daily Sales</t>
  </si>
  <si>
    <t>Material Costs - Stock</t>
  </si>
  <si>
    <t>Material Costs - Direct</t>
  </si>
  <si>
    <t>Net Income before tax %</t>
  </si>
  <si>
    <t>Monthly reduction in long-term debt principle</t>
  </si>
  <si>
    <t>Adjustments</t>
  </si>
  <si>
    <t>AR Cash Conversion</t>
  </si>
  <si>
    <t>Margin Adjustment</t>
  </si>
  <si>
    <t>Current AR Days</t>
  </si>
  <si>
    <t>Current Proforma Margin %</t>
  </si>
  <si>
    <t>Margin Adjustment in Basis Points</t>
  </si>
  <si>
    <t>Adjusted Margin Dollars</t>
  </si>
  <si>
    <t>AP Cash Conversion</t>
  </si>
  <si>
    <t>Inventory Cash Conversion</t>
  </si>
  <si>
    <t>Total Margin Adjustment</t>
  </si>
  <si>
    <t>Total Sales &amp; Marketing Expenses Adjustment</t>
  </si>
  <si>
    <t>Total Delivery Expenses Adjustment</t>
  </si>
  <si>
    <t>Total Warehouse Expenses Adjustment</t>
  </si>
  <si>
    <t>Total Occupancy Expenses Adjustments</t>
  </si>
  <si>
    <t>Total Information Technology Expenses Adjustments</t>
  </si>
  <si>
    <t>Total General &amp; Administrative Expenses Adjustment</t>
  </si>
  <si>
    <t>Total Other Income/Expense Adjustment</t>
  </si>
  <si>
    <t>Unadjusted Ending Cash</t>
  </si>
  <si>
    <t>Beginning Cash</t>
  </si>
  <si>
    <t>Calendar 2019 Actuals</t>
  </si>
  <si>
    <t>Calendar 2020 Actuals</t>
  </si>
  <si>
    <t>Business Days</t>
  </si>
  <si>
    <t>Future Performance Estimates</t>
  </si>
  <si>
    <t>Overview</t>
  </si>
  <si>
    <t>This template has been created by Indian River Consulting Group (IRCG) and placed in the public domain.  It has been designed for wholesale distributors, and other like businesses, to project potential cash-flow issues and model potential scenarios.  It has been optimized for precision and complexity.  The template's design requires the bare minimum of data for sufficient modeling and does not include multiple potential cash-flow levers such as product mix or channel mix.</t>
  </si>
  <si>
    <t>User assumes all responsibility for applying the information from this tool.  By using this tool, user agrees to hold IRCG harmless for any errors or omissions.  IRCG accepts no responsibility for accuracy or value of this tool.</t>
  </si>
  <si>
    <t>Historical P&amp;L Tab</t>
  </si>
  <si>
    <r>
      <t xml:space="preserve">In addition to entering monthly amounts, select the type of expense relative to how it will change as sales change.  </t>
    </r>
    <r>
      <rPr>
        <i/>
        <u/>
        <sz val="11"/>
        <color theme="1"/>
        <rFont val="Calibri"/>
        <family val="2"/>
        <scheme val="minor"/>
      </rPr>
      <t>Fixed expenses</t>
    </r>
    <r>
      <rPr>
        <i/>
        <sz val="11"/>
        <color theme="1"/>
        <rFont val="Calibri"/>
        <family val="2"/>
        <scheme val="minor"/>
      </rPr>
      <t xml:space="preserve"> are those that will not change relative to sales, e.g. warehouse lease.  Pure </t>
    </r>
    <r>
      <rPr>
        <i/>
        <u/>
        <sz val="11"/>
        <color theme="1"/>
        <rFont val="Calibri"/>
        <family val="2"/>
        <scheme val="minor"/>
      </rPr>
      <t>variable</t>
    </r>
    <r>
      <rPr>
        <i/>
        <sz val="11"/>
        <color theme="1"/>
        <rFont val="Calibri"/>
        <family val="2"/>
        <scheme val="minor"/>
      </rPr>
      <t xml:space="preserve"> expenses will change equal to changes in sales.  </t>
    </r>
    <r>
      <rPr>
        <i/>
        <u/>
        <sz val="11"/>
        <color theme="1"/>
        <rFont val="Calibri"/>
        <family val="2"/>
        <scheme val="minor"/>
      </rPr>
      <t>When selecting the expense type, please exclude actions you are or might be considering</t>
    </r>
    <r>
      <rPr>
        <i/>
        <sz val="11"/>
        <color theme="1"/>
        <rFont val="Calibri"/>
        <family val="2"/>
        <scheme val="minor"/>
      </rPr>
      <t>.  If no business condition adjustments were made, how would the expense change relative to sales?</t>
    </r>
  </si>
  <si>
    <t>FTE</t>
  </si>
  <si>
    <t>Proforma P&amp;L</t>
  </si>
  <si>
    <t xml:space="preserve">This tab does not figure in the calculations, but will have information that will prove helpful when scenarios are modeled.  </t>
  </si>
  <si>
    <t>Expenses are calculated based on values from the immediately preceding month.</t>
  </si>
  <si>
    <t>Cash</t>
  </si>
  <si>
    <t>The Cash tab incorporates working capital into the model and shows cash impacts based on the current balances of working capital accounts and projections from the Proforma P&amp;L tab.</t>
  </si>
  <si>
    <t>Accounts payable holds constant payable days as calculated by inventory to payables ratio (this is a fair assumption as mix of direct and out of stock sales is held constant throughout the model)</t>
  </si>
  <si>
    <t>Inventory is calculated by taking starting inventory and subtracting COGS out of warehouse from each respective month plus the next month's COGS out of warehouse (next month's COGS out of warehouse is used as a proxy for expected demand)</t>
  </si>
  <si>
    <t>ONLY ENTER VALUES IN SHADED CELLS</t>
  </si>
  <si>
    <t>Cash infusions such as paid in capital or borrowing can be added for any month using "Additional cash"</t>
  </si>
  <si>
    <t>Cash outlays such as capital purchases that would not show up on the P&amp;L can be added for any month using "Cash adjustment"</t>
  </si>
  <si>
    <t>Debt service on new borrowings</t>
  </si>
  <si>
    <t>Modeling</t>
  </si>
  <si>
    <t>Gross margin changes should be provided as basis points (100 basis points = 1%).  A positive value is an improvement in margin and adds the corresponding percentage of sales to available cash.  A negative value is a decrease in margin.</t>
  </si>
  <si>
    <t>Changes to both gross margin and expense levels are cumulative.  In other words, a 50 basis point improvement in margin is carried forward for every subsequent month</t>
  </si>
  <si>
    <t>Working Capital Adjustments</t>
  </si>
  <si>
    <t>Changes to working capital accounts should be made in terms of days, which the model will convert to dollars.  An increase in days should be entered as a positive value (bad for AR and good for AP).  A decrease in days should be entered as a negative value.</t>
  </si>
  <si>
    <t>Changes to working capital accounts provide a benefit in the month they occur only.  For example, if inventory is reduced 10 days in a given month, it will generate cash in that month, but not subsequent months.  Capital account changes are a "one time hit"</t>
  </si>
  <si>
    <t>Total Company Payroll Taxes &amp; Fringes (FICA, workers' comp., unemployment, medical, profit sharing, etc.)</t>
  </si>
  <si>
    <t>Total Company Payroll (wages, commissions, bonuses)</t>
  </si>
  <si>
    <t>Total Delivery Expenses (net freight charges recovered)</t>
  </si>
  <si>
    <t xml:space="preserve">Revenue Change </t>
  </si>
  <si>
    <t xml:space="preserve">Business Days </t>
  </si>
  <si>
    <t xml:space="preserve">Average Daily Sales </t>
  </si>
  <si>
    <r>
      <t>Cost Type</t>
    </r>
    <r>
      <rPr>
        <b/>
        <sz val="11"/>
        <color theme="1"/>
        <rFont val="Calibri"/>
        <family val="2"/>
        <scheme val="minor"/>
      </rPr>
      <t>*</t>
    </r>
    <r>
      <rPr>
        <b/>
        <u/>
        <sz val="11"/>
        <color theme="1"/>
        <rFont val="Calibri"/>
        <family val="2"/>
        <scheme val="minor"/>
      </rPr>
      <t xml:space="preserve">
</t>
    </r>
    <r>
      <rPr>
        <b/>
        <i/>
        <u/>
        <sz val="11"/>
        <color theme="1"/>
        <rFont val="Calibri"/>
        <family val="2"/>
        <scheme val="minor"/>
      </rPr>
      <t>(Use pull-down menu)</t>
    </r>
  </si>
  <si>
    <r>
      <rPr>
        <b/>
        <i/>
        <sz val="12"/>
        <color theme="1"/>
        <rFont val="Calibri"/>
        <family val="2"/>
        <scheme val="minor"/>
      </rPr>
      <t>*</t>
    </r>
    <r>
      <rPr>
        <i/>
        <sz val="12"/>
        <color theme="1"/>
        <rFont val="Calibri"/>
        <family val="2"/>
        <scheme val="minor"/>
      </rPr>
      <t>Fixed assumes that the expense is 100% fixed (expense is constant and does not change with sales)</t>
    </r>
  </si>
  <si>
    <r>
      <rPr>
        <b/>
        <i/>
        <sz val="12"/>
        <color theme="1"/>
        <rFont val="Calibri"/>
        <family val="2"/>
        <scheme val="minor"/>
      </rPr>
      <t>*</t>
    </r>
    <r>
      <rPr>
        <i/>
        <sz val="12"/>
        <color theme="1"/>
        <rFont val="Calibri"/>
        <family val="2"/>
        <scheme val="minor"/>
      </rPr>
      <t>Variable assumes that the expense is 100% variable (expense changes proportional to sales)</t>
    </r>
  </si>
  <si>
    <r>
      <rPr>
        <b/>
        <i/>
        <sz val="12"/>
        <color theme="1"/>
        <rFont val="Calibri"/>
        <family val="2"/>
        <scheme val="minor"/>
      </rPr>
      <t>*</t>
    </r>
    <r>
      <rPr>
        <i/>
        <sz val="12"/>
        <color theme="1"/>
        <rFont val="Calibri"/>
        <family val="2"/>
        <scheme val="minor"/>
      </rPr>
      <t>Semi-Variable assumes that the expense is XX% variable (expense changes at % listed relative to sale)</t>
    </r>
  </si>
  <si>
    <t>No values in this sheet effect model.  It is provided to allow for modeling scenarios.</t>
  </si>
  <si>
    <t>Change in Days (positive value increases DSO)</t>
  </si>
  <si>
    <t>Enter total wages and burdened costs in the cells provided.  These values will be used to determine the average burden rate.</t>
  </si>
  <si>
    <t>Revenue values are calculated on same month prior year (adjusted for selling days).</t>
  </si>
  <si>
    <t>Accounts receivable holds constant days sales outstanding (DSO).</t>
  </si>
  <si>
    <r>
      <t xml:space="preserve">The Proforma P&amp;L provides a simulation of profit based on changes in sales as </t>
    </r>
    <r>
      <rPr>
        <i/>
        <u/>
        <sz val="11"/>
        <color theme="1"/>
        <rFont val="Calibri"/>
        <family val="2"/>
        <scheme val="minor"/>
      </rPr>
      <t>entered by the user at the top of the tab</t>
    </r>
    <r>
      <rPr>
        <i/>
        <sz val="11"/>
        <color theme="1"/>
        <rFont val="Calibri"/>
        <family val="2"/>
        <scheme val="minor"/>
      </rPr>
      <t xml:space="preserve"> and the cost types listed on the historical P&amp;L tab.  </t>
    </r>
  </si>
  <si>
    <t>Looking at order cancelation trends can also be helpful when making estimates for sales trends.</t>
  </si>
  <si>
    <t>When making sales trend estimates it would make sense to review your backlog orders, if they exist, while adjusting for potential cancelations.  Comparing adjusted backlog with sales from the same month's prior year's sales can give you an estimate of the percentage to enter.</t>
  </si>
  <si>
    <t>The Modeling tab allows the user to make adjustments to expenses and working capital accounts to see the impact they would have.</t>
  </si>
  <si>
    <t>Changes in expense levels should be entered with a negative sign ("-") if the expense is decreasing.</t>
  </si>
  <si>
    <t>Change in Days (positive value increases Days to Pay)</t>
  </si>
  <si>
    <t>AP to COGS Calculation</t>
  </si>
  <si>
    <t xml:space="preserve">Current Inventory Days </t>
  </si>
  <si>
    <t>Change in Days (positive value increases Days of Inventory)</t>
  </si>
  <si>
    <t>ONLY ENTER VALUES IN SHADED CELLS
(Delete Values in Shaded Cells before 1st Use)</t>
  </si>
  <si>
    <r>
      <t xml:space="preserve">In addition to this Instructions tab, there are five worksheets in this workbook.  Cells shaded in yellow are those that require user inputs.  Non-shaded cells contain formulas and no protection has been applied to these cells.  </t>
    </r>
    <r>
      <rPr>
        <i/>
        <u/>
        <sz val="11"/>
        <color theme="1"/>
        <rFont val="Calibri"/>
        <family val="2"/>
        <scheme val="minor"/>
      </rPr>
      <t>It is strongly suggested that the original version of this Excel workbook is retained and the "Save As" function is used for working copies</t>
    </r>
    <r>
      <rPr>
        <i/>
        <sz val="11"/>
        <color theme="1"/>
        <rFont val="Calibri"/>
        <family val="2"/>
        <scheme val="minor"/>
      </rPr>
      <t>.  The Historical P&amp;L, Cash, and FTE tabs are where historical and actual information is entered.  Revenue projections are entered on the Proforma tab, which will show the P&amp;L impacts solely from revenue estimates entered.  Cash impacts are displayed on the Modeling tab and it is here where functionality has been provided for adjustments to be made to expense, margin and balance sheet accounts that effect cash.</t>
    </r>
  </si>
  <si>
    <t>The first tab provides a generic list of P&amp;L accounts.  Not every row must be populated, but the total revenue, total gross margin and total expense amounts should accurately reflect the prior 15 months for your business.  This baseline data is what will be used for forward-looking estimations.</t>
  </si>
  <si>
    <t>Enter headcount and wages for different positions (feel free to overwrite those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</si>
</sst>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3" formatCode="_(* #,##0.00_);_(* \(#,##0.00\);_(* &quot;-&quot;??_);_(@_)"/>
    <numFmt numFmtId="164" formatCode="_ &quot;¥&quot;* #,##0.00_ ;_ &quot;¥&quot;* \-#,##0.00_ ;_ &quot;¥&quot;* &quot;-&quot;??_ ;_ @_ "/>
    <numFmt numFmtId="165" formatCode="_ * #,##0.00_ ;_ * \-#,##0.00_ ;_ * &quot;-&quot;??_ ;_ @_ "/>
    <numFmt numFmtId="166" formatCode="[$-409]d\-mmm\-yy;@"/>
    <numFmt numFmtId="167" formatCode="&quot;$&quot;#,##0.00"/>
    <numFmt numFmtId="168" formatCode="&quot;$&quot;#,##0"/>
    <numFmt numFmtId="169" formatCode="[$-409]mmmm\ d\,\ yyyy;@"/>
    <numFmt numFmtId="170" formatCode="0.0%"/>
    <numFmt numFmtId="171" formatCode="[$-409]mmm\-yy;@"/>
    <numFmt numFmtId="172" formatCode="_(* #,##0_);_(* \(#,##0\);_(* &quot;-&quot;??_);_(@_)"/>
    <numFmt numFmtId="173" formatCode="0.0"/>
    <numFmt numFmtId="174" formatCode="0.0_);[Red]\(0.0\)"/>
    <numFmt numFmtId="175" formatCode="0.0000"/>
    <numFmt numFmtId="176" formatCode="#,##0.0_);[Red]\(#,##0.0\)"/>
    <numFmt numFmtId="177" formatCode="&quot;$&quot;#,##0.0"/>
    <numFmt numFmtId="178" formatCode="&quot;$&quot;#,##0.0_);[Red]\(&quot;$&quot;#,##0.0\)"/>
    <numFmt numFmtId="179" formatCode="#,##0.0"/>
    <numFmt numFmtId="180" formatCode="mm/dd/yy;@"/>
  </numFmts>
  <fonts count="22">
    <font>
      <sz val="11"/>
      <color theme="1"/>
      <name val="Calibri"/>
      <family val="2"/>
      <scheme val="minor"/>
    </font>
    <font>
      <b/>
      <sz val="11"/>
      <color theme="1"/>
      <name val="Calibri"/>
      <family val="2"/>
      <scheme val="minor"/>
    </font>
    <font>
      <sz val="10"/>
      <name val="Arial"/>
      <family val="2"/>
    </font>
    <font>
      <sz val="11"/>
      <color indexed="8"/>
      <name val="Courier New"/>
      <family val="3"/>
    </font>
    <font>
      <sz val="11"/>
      <color theme="1"/>
      <name val="Calibri"/>
      <family val="3"/>
      <charset val="134"/>
      <scheme val="minor"/>
    </font>
    <font>
      <sz val="12"/>
      <name val="宋体"/>
      <family val="3"/>
      <charset val="134"/>
    </font>
    <font>
      <sz val="11"/>
      <color theme="1"/>
      <name val="Calibri"/>
      <family val="2"/>
      <scheme val="minor"/>
    </font>
    <font>
      <b/>
      <u/>
      <sz val="11"/>
      <color theme="1"/>
      <name val="Calibri"/>
      <family val="2"/>
      <scheme val="minor"/>
    </font>
    <font>
      <sz val="8"/>
      <name val="Calibri"/>
      <family val="2"/>
      <scheme val="minor"/>
    </font>
    <font>
      <sz val="14"/>
      <color theme="1"/>
      <name val="Calibri"/>
      <family val="2"/>
      <scheme val="minor"/>
    </font>
    <font>
      <b/>
      <sz val="11"/>
      <color rgb="FFFF0000"/>
      <name val="Calibri"/>
      <family val="2"/>
      <scheme val="minor"/>
    </font>
    <font>
      <sz val="11"/>
      <name val="Calibri"/>
      <family val="2"/>
      <scheme val="minor"/>
    </font>
    <font>
      <b/>
      <i/>
      <sz val="11"/>
      <color theme="1"/>
      <name val="Calibri"/>
      <family val="2"/>
      <scheme val="minor"/>
    </font>
    <font>
      <i/>
      <sz val="11"/>
      <color theme="1"/>
      <name val="Calibri"/>
      <family val="2"/>
      <scheme val="minor"/>
    </font>
    <font>
      <i/>
      <u/>
      <sz val="11"/>
      <color theme="1"/>
      <name val="Calibri"/>
      <family val="2"/>
      <scheme val="minor"/>
    </font>
    <font>
      <b/>
      <sz val="14"/>
      <color rgb="FFC00000"/>
      <name val="Calibri"/>
      <family val="2"/>
      <scheme val="minor"/>
    </font>
    <font>
      <b/>
      <sz val="16"/>
      <color rgb="FFC00000"/>
      <name val="Calibri"/>
      <family val="2"/>
      <scheme val="minor"/>
    </font>
    <font>
      <b/>
      <sz val="18"/>
      <color rgb="FFC00000"/>
      <name val="Calibri"/>
      <family val="2"/>
      <scheme val="minor"/>
    </font>
    <font>
      <b/>
      <i/>
      <sz val="14"/>
      <name val="Calibri"/>
      <family val="2"/>
      <scheme val="minor"/>
    </font>
    <font>
      <b/>
      <i/>
      <u/>
      <sz val="11"/>
      <color theme="1"/>
      <name val="Calibri"/>
      <family val="2"/>
      <scheme val="minor"/>
    </font>
    <font>
      <i/>
      <sz val="12"/>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2" fillId="0" borderId="0"/>
    <xf numFmtId="0" fontId="2" fillId="0" borderId="0" applyBorder="0"/>
    <xf numFmtId="0" fontId="2" fillId="0" borderId="0" applyBorder="0"/>
    <xf numFmtId="9" fontId="2" fillId="0" borderId="0" applyFont="0" applyFill="0" applyBorder="0" applyAlignment="0" applyProtection="0">
      <alignment vertical="center"/>
    </xf>
    <xf numFmtId="43"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165" fontId="2" fillId="0" borderId="0" applyFont="0" applyFill="0" applyBorder="0" applyAlignment="0" applyProtection="0">
      <alignment vertical="center"/>
    </xf>
    <xf numFmtId="164" fontId="2" fillId="0" borderId="0" applyFont="0" applyFill="0" applyBorder="0" applyAlignment="0" applyProtection="0">
      <alignment vertical="center"/>
    </xf>
    <xf numFmtId="0" fontId="3" fillId="0" borderId="0"/>
    <xf numFmtId="166" fontId="4" fillId="0" borderId="0"/>
    <xf numFmtId="166" fontId="3" fillId="0" borderId="0"/>
    <xf numFmtId="0" fontId="5" fillId="0" borderId="0"/>
    <xf numFmtId="9" fontId="6" fillId="0" borderId="0" applyFont="0" applyFill="0" applyBorder="0" applyAlignment="0" applyProtection="0"/>
    <xf numFmtId="43" fontId="6" fillId="0" borderId="0" applyFont="0" applyFill="0" applyBorder="0" applyAlignment="0" applyProtection="0"/>
  </cellStyleXfs>
  <cellXfs count="122">
    <xf numFmtId="0" fontId="0" fillId="0" borderId="0" xfId="0"/>
    <xf numFmtId="0" fontId="1" fillId="0" borderId="0" xfId="0" applyFont="1"/>
    <xf numFmtId="0" fontId="7" fillId="0" borderId="0" xfId="0" applyFont="1" applyAlignment="1">
      <alignment horizontal="center"/>
    </xf>
    <xf numFmtId="0" fontId="0" fillId="0" borderId="0" xfId="0" applyAlignment="1">
      <alignment horizontal="left" indent="1"/>
    </xf>
    <xf numFmtId="16" fontId="7" fillId="0" borderId="0" xfId="0" applyNumberFormat="1" applyFont="1" applyAlignment="1">
      <alignment horizontal="center"/>
    </xf>
    <xf numFmtId="167" fontId="0" fillId="0" borderId="0" xfId="0" applyNumberFormat="1"/>
    <xf numFmtId="168" fontId="0" fillId="0" borderId="0" xfId="0" applyNumberFormat="1"/>
    <xf numFmtId="0" fontId="0" fillId="0" borderId="0" xfId="0" applyFill="1" applyBorder="1"/>
    <xf numFmtId="0" fontId="1" fillId="0" borderId="0" xfId="0" applyFont="1" applyFill="1"/>
    <xf numFmtId="0" fontId="0" fillId="0" borderId="0" xfId="0" applyFill="1"/>
    <xf numFmtId="168" fontId="0" fillId="0" borderId="0" xfId="0" applyNumberFormat="1" applyFill="1"/>
    <xf numFmtId="0" fontId="0" fillId="3" borderId="1" xfId="0" applyFill="1" applyBorder="1"/>
    <xf numFmtId="0" fontId="0" fillId="3" borderId="2" xfId="0" applyFill="1" applyBorder="1"/>
    <xf numFmtId="171" fontId="7" fillId="0" borderId="0" xfId="0" applyNumberFormat="1" applyFont="1" applyAlignment="1">
      <alignment horizontal="center"/>
    </xf>
    <xf numFmtId="0" fontId="1" fillId="0" borderId="0" xfId="0" applyFont="1" applyAlignment="1">
      <alignment horizontal="center"/>
    </xf>
    <xf numFmtId="168" fontId="1" fillId="0" borderId="0" xfId="0" applyNumberFormat="1" applyFont="1" applyFill="1"/>
    <xf numFmtId="168" fontId="1" fillId="0" borderId="0" xfId="0" applyNumberFormat="1" applyFont="1"/>
    <xf numFmtId="170" fontId="1" fillId="0" borderId="0" xfId="14" applyNumberFormat="1" applyFont="1"/>
    <xf numFmtId="0" fontId="1" fillId="3" borderId="2" xfId="0" applyFont="1" applyFill="1" applyBorder="1"/>
    <xf numFmtId="0" fontId="1" fillId="3" borderId="3" xfId="0" applyFont="1" applyFill="1" applyBorder="1"/>
    <xf numFmtId="9" fontId="0" fillId="0" borderId="0" xfId="14" applyFont="1" applyFill="1" applyBorder="1"/>
    <xf numFmtId="0" fontId="0" fillId="0" borderId="0" xfId="0" applyAlignment="1"/>
    <xf numFmtId="10" fontId="1" fillId="0" borderId="0" xfId="14" applyNumberFormat="1" applyFont="1" applyAlignment="1">
      <alignment horizontal="center"/>
    </xf>
    <xf numFmtId="172" fontId="0" fillId="0" borderId="0" xfId="15" applyNumberFormat="1" applyFont="1"/>
    <xf numFmtId="0" fontId="0" fillId="0" borderId="0" xfId="0" applyFont="1" applyAlignment="1">
      <alignment horizontal="left" indent="1"/>
    </xf>
    <xf numFmtId="0" fontId="0" fillId="0" borderId="0" xfId="0" applyFont="1"/>
    <xf numFmtId="170" fontId="0" fillId="0" borderId="0" xfId="14" applyNumberFormat="1" applyFont="1"/>
    <xf numFmtId="0" fontId="0" fillId="0" borderId="0" xfId="0" applyAlignment="1">
      <alignment horizontal="left"/>
    </xf>
    <xf numFmtId="0" fontId="1" fillId="0" borderId="0" xfId="0" applyFont="1" applyAlignment="1">
      <alignment horizontal="left" indent="1"/>
    </xf>
    <xf numFmtId="0" fontId="0" fillId="0" borderId="0" xfId="0" applyAlignment="1">
      <alignment horizontal="left" indent="2"/>
    </xf>
    <xf numFmtId="173" fontId="0" fillId="0" borderId="0" xfId="0" applyNumberFormat="1"/>
    <xf numFmtId="0" fontId="1" fillId="0" borderId="0" xfId="0" applyFont="1" applyAlignment="1">
      <alignment horizontal="left"/>
    </xf>
    <xf numFmtId="168" fontId="0" fillId="0" borderId="0" xfId="15" applyNumberFormat="1" applyFont="1" applyFill="1"/>
    <xf numFmtId="168" fontId="0" fillId="0" borderId="0" xfId="15" applyNumberFormat="1" applyFont="1"/>
    <xf numFmtId="0" fontId="0" fillId="0" borderId="0" xfId="0" applyFill="1" applyAlignment="1">
      <alignment horizontal="left" indent="1"/>
    </xf>
    <xf numFmtId="0" fontId="1" fillId="0" borderId="0" xfId="0" applyFont="1" applyFill="1" applyAlignment="1">
      <alignment horizontal="left"/>
    </xf>
    <xf numFmtId="0" fontId="0" fillId="0" borderId="0" xfId="0" applyFill="1" applyAlignment="1">
      <alignment wrapText="1"/>
    </xf>
    <xf numFmtId="0" fontId="0" fillId="3" borderId="0" xfId="0" applyFill="1"/>
    <xf numFmtId="172" fontId="0" fillId="3" borderId="0" xfId="15" applyNumberFormat="1" applyFont="1" applyFill="1"/>
    <xf numFmtId="10" fontId="0" fillId="0" borderId="0" xfId="14" applyNumberFormat="1" applyFont="1"/>
    <xf numFmtId="169" fontId="7" fillId="0" borderId="0" xfId="0" applyNumberFormat="1" applyFont="1" applyAlignment="1">
      <alignment horizontal="center" wrapText="1"/>
    </xf>
    <xf numFmtId="9" fontId="0" fillId="0" borderId="0" xfId="14" applyFont="1" applyAlignment="1">
      <alignment wrapText="1"/>
    </xf>
    <xf numFmtId="168" fontId="0" fillId="0" borderId="0" xfId="0" applyNumberFormat="1" applyAlignment="1">
      <alignment wrapText="1"/>
    </xf>
    <xf numFmtId="0" fontId="0" fillId="0" borderId="0" xfId="0" applyAlignment="1">
      <alignment wrapText="1"/>
    </xf>
    <xf numFmtId="168" fontId="0" fillId="0" borderId="0" xfId="0" applyNumberFormat="1" applyFill="1" applyAlignment="1">
      <alignment wrapText="1"/>
    </xf>
    <xf numFmtId="0" fontId="1" fillId="3" borderId="0" xfId="0" applyFont="1" applyFill="1"/>
    <xf numFmtId="0" fontId="1" fillId="0" borderId="0" xfId="0" applyFont="1" applyAlignment="1">
      <alignment horizontal="left" indent="2"/>
    </xf>
    <xf numFmtId="168" fontId="0" fillId="5" borderId="0" xfId="0" applyNumberFormat="1" applyFill="1"/>
    <xf numFmtId="0" fontId="13" fillId="0" borderId="0" xfId="0" applyFont="1" applyAlignment="1">
      <alignment vertical="center" wrapText="1"/>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wrapText="1"/>
    </xf>
    <xf numFmtId="0" fontId="16" fillId="0" borderId="0" xfId="0" applyFont="1" applyAlignment="1">
      <alignment horizontal="center" vertical="center"/>
    </xf>
    <xf numFmtId="16" fontId="0" fillId="0" borderId="0" xfId="0" applyNumberFormat="1"/>
    <xf numFmtId="168" fontId="0" fillId="0" borderId="0" xfId="0" applyNumberFormat="1" applyAlignment="1">
      <alignment horizontal="right"/>
    </xf>
    <xf numFmtId="175" fontId="0" fillId="0" borderId="0" xfId="0" applyNumberFormat="1"/>
    <xf numFmtId="9" fontId="0" fillId="0" borderId="0" xfId="14" applyFont="1"/>
    <xf numFmtId="0" fontId="0" fillId="0" borderId="0" xfId="0" applyAlignment="1">
      <alignment horizontal="right"/>
    </xf>
    <xf numFmtId="0" fontId="0" fillId="3" borderId="4" xfId="0" applyFill="1" applyBorder="1"/>
    <xf numFmtId="168" fontId="0" fillId="5" borderId="11" xfId="0" applyNumberFormat="1" applyFill="1" applyBorder="1"/>
    <xf numFmtId="0" fontId="1" fillId="5" borderId="11" xfId="0" applyFont="1" applyFill="1" applyBorder="1"/>
    <xf numFmtId="0" fontId="0" fillId="0" borderId="11" xfId="0" applyFill="1" applyBorder="1"/>
    <xf numFmtId="0" fontId="1" fillId="3" borderId="0" xfId="0" applyFont="1" applyFill="1" applyBorder="1"/>
    <xf numFmtId="0" fontId="0" fillId="3" borderId="0" xfId="0" applyFill="1" applyBorder="1"/>
    <xf numFmtId="0" fontId="1" fillId="3" borderId="4" xfId="0" applyFont="1" applyFill="1" applyBorder="1"/>
    <xf numFmtId="0" fontId="0" fillId="5" borderId="11" xfId="0" applyFill="1" applyBorder="1"/>
    <xf numFmtId="9" fontId="0" fillId="5" borderId="11" xfId="14" applyFont="1" applyFill="1" applyBorder="1"/>
    <xf numFmtId="174" fontId="0" fillId="5" borderId="11" xfId="0" applyNumberFormat="1" applyFill="1" applyBorder="1"/>
    <xf numFmtId="0" fontId="16" fillId="5" borderId="11" xfId="0" applyFont="1" applyFill="1" applyBorder="1" applyAlignment="1">
      <alignment horizontal="center" vertical="center"/>
    </xf>
    <xf numFmtId="6" fontId="0" fillId="0" borderId="0" xfId="0" applyNumberFormat="1"/>
    <xf numFmtId="0" fontId="1" fillId="0" borderId="0" xfId="0" applyFont="1" applyAlignment="1">
      <alignment horizontal="center" wrapText="1"/>
    </xf>
    <xf numFmtId="167" fontId="0" fillId="0" borderId="0" xfId="0" applyNumberFormat="1" applyAlignment="1">
      <alignment horizontal="right"/>
    </xf>
    <xf numFmtId="0" fontId="7" fillId="0" borderId="0" xfId="0" applyFont="1" applyAlignment="1">
      <alignment horizontal="center" wrapText="1"/>
    </xf>
    <xf numFmtId="0" fontId="0" fillId="0" borderId="0" xfId="0" quotePrefix="1"/>
    <xf numFmtId="0" fontId="20" fillId="0" borderId="0" xfId="0" quotePrefix="1" applyFont="1"/>
    <xf numFmtId="176" fontId="1" fillId="5" borderId="11" xfId="0" applyNumberFormat="1" applyFont="1" applyFill="1" applyBorder="1"/>
    <xf numFmtId="177" fontId="0" fillId="5" borderId="11" xfId="0" applyNumberFormat="1" applyFill="1" applyBorder="1"/>
    <xf numFmtId="167" fontId="0" fillId="0" borderId="0" xfId="0" applyNumberFormat="1" applyAlignment="1"/>
    <xf numFmtId="177" fontId="1" fillId="0" borderId="0" xfId="0" applyNumberFormat="1" applyFont="1" applyFill="1"/>
    <xf numFmtId="177" fontId="1" fillId="0" borderId="0" xfId="0" applyNumberFormat="1" applyFont="1"/>
    <xf numFmtId="178" fontId="1" fillId="5" borderId="11" xfId="0" applyNumberFormat="1" applyFont="1" applyFill="1" applyBorder="1"/>
    <xf numFmtId="177" fontId="0" fillId="0" borderId="0" xfId="0" applyNumberFormat="1" applyFill="1" applyBorder="1"/>
    <xf numFmtId="177" fontId="0" fillId="0" borderId="0" xfId="0" applyNumberFormat="1"/>
    <xf numFmtId="178" fontId="1" fillId="0" borderId="0" xfId="0" applyNumberFormat="1" applyFont="1"/>
    <xf numFmtId="178" fontId="0" fillId="0" borderId="0" xfId="0" applyNumberFormat="1"/>
    <xf numFmtId="178" fontId="0" fillId="0" borderId="0" xfId="14" applyNumberFormat="1" applyFont="1"/>
    <xf numFmtId="178" fontId="1" fillId="0" borderId="0" xfId="0" applyNumberFormat="1" applyFont="1" applyFill="1"/>
    <xf numFmtId="178" fontId="10" fillId="0" borderId="0" xfId="0" applyNumberFormat="1" applyFont="1"/>
    <xf numFmtId="178" fontId="0" fillId="0" borderId="0" xfId="0" applyNumberFormat="1" applyFont="1"/>
    <xf numFmtId="8" fontId="1" fillId="0" borderId="0" xfId="0" applyNumberFormat="1" applyFont="1"/>
    <xf numFmtId="10" fontId="1" fillId="0" borderId="0" xfId="14" applyNumberFormat="1" applyFont="1"/>
    <xf numFmtId="6" fontId="0" fillId="0" borderId="0" xfId="0" quotePrefix="1" applyNumberFormat="1"/>
    <xf numFmtId="178" fontId="0" fillId="5" borderId="11" xfId="0" applyNumberFormat="1" applyFill="1" applyBorder="1" applyAlignment="1">
      <alignment wrapText="1"/>
    </xf>
    <xf numFmtId="178" fontId="0" fillId="0" borderId="0" xfId="0" applyNumberFormat="1" applyFill="1" applyAlignment="1">
      <alignment wrapText="1"/>
    </xf>
    <xf numFmtId="178" fontId="0" fillId="0" borderId="0" xfId="0" applyNumberFormat="1" applyAlignment="1">
      <alignment wrapText="1"/>
    </xf>
    <xf numFmtId="9" fontId="0" fillId="0" borderId="0" xfId="14" applyFont="1" applyFill="1" applyAlignment="1">
      <alignment wrapText="1"/>
    </xf>
    <xf numFmtId="9" fontId="11" fillId="0" borderId="0" xfId="14" applyFont="1" applyFill="1" applyAlignment="1">
      <alignment wrapText="1"/>
    </xf>
    <xf numFmtId="178" fontId="0" fillId="0" borderId="0" xfId="14" applyNumberFormat="1" applyFont="1" applyAlignment="1">
      <alignment wrapText="1"/>
    </xf>
    <xf numFmtId="43" fontId="7" fillId="0" borderId="0" xfId="15" applyFont="1" applyAlignment="1">
      <alignment horizontal="center" wrapText="1"/>
    </xf>
    <xf numFmtId="38" fontId="0" fillId="5" borderId="11" xfId="0" applyNumberFormat="1" applyFill="1" applyBorder="1"/>
    <xf numFmtId="178" fontId="0" fillId="5" borderId="11" xfId="0" applyNumberFormat="1" applyFill="1" applyBorder="1"/>
    <xf numFmtId="178" fontId="0" fillId="5" borderId="11" xfId="15" applyNumberFormat="1" applyFont="1" applyFill="1" applyBorder="1"/>
    <xf numFmtId="179" fontId="0" fillId="0" borderId="0" xfId="0" applyNumberFormat="1"/>
    <xf numFmtId="180" fontId="7" fillId="0" borderId="0" xfId="0" applyNumberFormat="1" applyFont="1" applyAlignment="1">
      <alignment horizontal="center" wrapText="1"/>
    </xf>
    <xf numFmtId="0" fontId="15" fillId="5" borderId="11" xfId="0" applyFont="1" applyFill="1" applyBorder="1" applyAlignment="1">
      <alignment horizontal="center" vertical="center" wrapText="1"/>
    </xf>
    <xf numFmtId="0" fontId="9" fillId="4" borderId="0" xfId="0" applyFont="1" applyFill="1" applyAlignment="1">
      <alignment horizontal="center"/>
    </xf>
    <xf numFmtId="0" fontId="17" fillId="5" borderId="11" xfId="0" applyFont="1" applyFill="1" applyBorder="1" applyAlignment="1">
      <alignment horizontal="center" vertical="center" wrapText="1"/>
    </xf>
    <xf numFmtId="0" fontId="17" fillId="5" borderId="11" xfId="0" applyFont="1" applyFill="1" applyBorder="1" applyAlignment="1">
      <alignment horizontal="center" vertical="center"/>
    </xf>
    <xf numFmtId="0" fontId="12" fillId="0" borderId="0" xfId="0" applyFont="1" applyAlignment="1">
      <alignment horizont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168" fontId="0" fillId="5" borderId="11" xfId="0" applyNumberFormat="1" applyFill="1" applyBorder="1" applyAlignment="1">
      <alignment horizontal="center"/>
    </xf>
    <xf numFmtId="0" fontId="18" fillId="4" borderId="4" xfId="0" applyFont="1" applyFill="1" applyBorder="1" applyAlignment="1">
      <alignment horizontal="center"/>
    </xf>
    <xf numFmtId="0" fontId="18" fillId="4" borderId="0" xfId="0" applyFont="1" applyFill="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cellXfs>
  <cellStyles count="16">
    <cellStyle name="0,0_x000d__x000a_NA_x000d__x000a_" xfId="13" xr:uid="{8B690445-668E-455A-BD2F-ACE54753CEA5}"/>
    <cellStyle name="3232" xfId="3" xr:uid="{C8EF104F-4A3F-4361-BE18-9A791EA0FF5E}"/>
    <cellStyle name="Comma" xfId="15" builtinId="3"/>
    <cellStyle name="Comma 2" xfId="8" xr:uid="{CBF3FF72-47DE-46F1-8EE1-B4D24BF14FCF}"/>
    <cellStyle name="Comma 3" xfId="5" xr:uid="{DC5A227F-6CF8-4848-BD12-D05C06F21D38}"/>
    <cellStyle name="Currency 2" xfId="9" xr:uid="{15DF65BC-DFEA-4645-A559-66453DA0047A}"/>
    <cellStyle name="Normal" xfId="0" builtinId="0"/>
    <cellStyle name="Normal 2" xfId="1" xr:uid="{15A58337-A039-4F31-A2C1-A610E12CAA56}"/>
    <cellStyle name="Percent" xfId="14" builtinId="5"/>
    <cellStyle name="Percent 2" xfId="6" xr:uid="{72C745E5-B84F-4134-9012-AF7B051859A2}"/>
    <cellStyle name="Percent 3" xfId="7" xr:uid="{ED7F384D-0DB0-42C6-ACF3-F99F95C4917E}"/>
    <cellStyle name="Percent 4" xfId="4" xr:uid="{F001D29A-2540-453C-8843-1CA5F96D93C7}"/>
    <cellStyle name="Style 1" xfId="2" xr:uid="{BA67159B-F22C-4118-B365-A32223440517}"/>
    <cellStyle name="常规 2 8" xfId="11" xr:uid="{F1CFCE2F-2FE3-40AC-B36D-CF039EA620F4}"/>
    <cellStyle name="常规 3" xfId="12" xr:uid="{8DD55D04-6218-437B-A71B-A8E42A797364}"/>
    <cellStyle name="常规 35" xfId="10" xr:uid="{A0D1355A-72DF-48A0-B397-459A4B9DFF93}"/>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0</xdr:rowOff>
    </xdr:from>
    <xdr:to>
      <xdr:col>1</xdr:col>
      <xdr:colOff>2846737</xdr:colOff>
      <xdr:row>5</xdr:row>
      <xdr:rowOff>189071</xdr:rowOff>
    </xdr:to>
    <xdr:pic>
      <xdr:nvPicPr>
        <xdr:cNvPr id="3" name="Picture 2">
          <a:extLst>
            <a:ext uri="{FF2B5EF4-FFF2-40B4-BE49-F238E27FC236}">
              <a16:creationId xmlns:a16="http://schemas.microsoft.com/office/drawing/2014/main" id="{300DC1ED-6060-46C6-98C2-AF597B818ABC}"/>
            </a:ext>
          </a:extLst>
        </xdr:cNvPr>
        <xdr:cNvPicPr>
          <a:picLocks noChangeAspect="1"/>
        </xdr:cNvPicPr>
      </xdr:nvPicPr>
      <xdr:blipFill>
        <a:blip xmlns:r="http://schemas.openxmlformats.org/officeDocument/2006/relationships" r:embed="rId1"/>
        <a:stretch>
          <a:fillRect/>
        </a:stretch>
      </xdr:blipFill>
      <xdr:spPr>
        <a:xfrm>
          <a:off x="161925" y="0"/>
          <a:ext cx="2780062" cy="1141571"/>
        </a:xfrm>
        <a:prstGeom prst="rect">
          <a:avLst/>
        </a:prstGeom>
      </xdr:spPr>
    </xdr:pic>
    <xdr:clientData/>
  </xdr:twoCellAnchor>
  <xdr:twoCellAnchor>
    <xdr:from>
      <xdr:col>1</xdr:col>
      <xdr:colOff>4210050</xdr:colOff>
      <xdr:row>1</xdr:row>
      <xdr:rowOff>47625</xdr:rowOff>
    </xdr:from>
    <xdr:to>
      <xdr:col>1</xdr:col>
      <xdr:colOff>6629400</xdr:colOff>
      <xdr:row>5</xdr:row>
      <xdr:rowOff>142875</xdr:rowOff>
    </xdr:to>
    <xdr:sp macro="" textlink="">
      <xdr:nvSpPr>
        <xdr:cNvPr id="4" name="TextBox 3">
          <a:extLst>
            <a:ext uri="{FF2B5EF4-FFF2-40B4-BE49-F238E27FC236}">
              <a16:creationId xmlns:a16="http://schemas.microsoft.com/office/drawing/2014/main" id="{0D90F5BB-707E-46A0-A4BA-7CCA448CB5DE}"/>
            </a:ext>
          </a:extLst>
        </xdr:cNvPr>
        <xdr:cNvSpPr txBox="1"/>
      </xdr:nvSpPr>
      <xdr:spPr>
        <a:xfrm>
          <a:off x="4305300" y="238125"/>
          <a:ext cx="24193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1">
              <a:solidFill>
                <a:srgbClr val="C00000"/>
              </a:solidFill>
            </a:rPr>
            <a:t>Please read all instructions carefully before using</a:t>
          </a:r>
          <a:r>
            <a:rPr lang="en-US" sz="1400" b="1" i="1" baseline="0">
              <a:solidFill>
                <a:srgbClr val="C00000"/>
              </a:solidFill>
            </a:rPr>
            <a:t> modeling tool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D01E3-C794-4469-B2CB-16E8D0DCA609}" name="Table1" displayName="Table1" ref="A1:A6" totalsRowShown="0">
  <autoFilter ref="A1:A6" xr:uid="{F747513A-4C3F-46CB-8D6B-C41325BD8AE6}"/>
  <tableColumns count="1">
    <tableColumn id="1" xr3:uid="{5E10BE36-17E3-4200-84ED-B775EEBAFB13}" name="Cost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BA9A-E666-4509-82D6-6DA6281233A9}">
  <dimension ref="B8:B43"/>
  <sheetViews>
    <sheetView tabSelected="1" zoomScaleNormal="100" workbookViewId="0">
      <selection activeCell="B1" sqref="B1"/>
    </sheetView>
  </sheetViews>
  <sheetFormatPr defaultColWidth="9.109375" defaultRowHeight="14.4"/>
  <cols>
    <col min="1" max="1" width="1.44140625" style="51" customWidth="1"/>
    <col min="2" max="2" width="108.109375" style="51" customWidth="1"/>
    <col min="3" max="16384" width="9.109375" style="51"/>
  </cols>
  <sheetData>
    <row r="8" spans="2:2">
      <c r="B8" s="50" t="s">
        <v>105</v>
      </c>
    </row>
    <row r="9" spans="2:2" ht="57.6">
      <c r="B9" s="48" t="s">
        <v>106</v>
      </c>
    </row>
    <row r="10" spans="2:2" ht="100.8">
      <c r="B10" s="48" t="s">
        <v>153</v>
      </c>
    </row>
    <row r="11" spans="2:2" ht="28.8">
      <c r="B11" s="48" t="s">
        <v>107</v>
      </c>
    </row>
    <row r="12" spans="2:2">
      <c r="B12" s="52"/>
    </row>
    <row r="13" spans="2:2">
      <c r="B13" s="53" t="s">
        <v>108</v>
      </c>
    </row>
    <row r="14" spans="2:2" ht="43.2">
      <c r="B14" s="48" t="s">
        <v>154</v>
      </c>
    </row>
    <row r="15" spans="2:2" ht="57.6">
      <c r="B15" s="48" t="s">
        <v>109</v>
      </c>
    </row>
    <row r="17" spans="2:2">
      <c r="B17" s="53" t="s">
        <v>110</v>
      </c>
    </row>
    <row r="18" spans="2:2" ht="18.75" customHeight="1">
      <c r="B18" s="49" t="s">
        <v>112</v>
      </c>
    </row>
    <row r="19" spans="2:2" ht="18.75" customHeight="1">
      <c r="B19" s="49" t="s">
        <v>140</v>
      </c>
    </row>
    <row r="20" spans="2:2" ht="18.75" customHeight="1">
      <c r="B20" s="49" t="s">
        <v>155</v>
      </c>
    </row>
    <row r="22" spans="2:2">
      <c r="B22" s="50" t="s">
        <v>111</v>
      </c>
    </row>
    <row r="23" spans="2:2" ht="36.75" customHeight="1">
      <c r="B23" s="48" t="s">
        <v>143</v>
      </c>
    </row>
    <row r="24" spans="2:2" ht="50.25" customHeight="1">
      <c r="B24" s="48" t="s">
        <v>145</v>
      </c>
    </row>
    <row r="25" spans="2:2" ht="18.75" customHeight="1">
      <c r="B25" s="48" t="s">
        <v>144</v>
      </c>
    </row>
    <row r="26" spans="2:2" ht="18.75" customHeight="1">
      <c r="B26" s="49" t="s">
        <v>141</v>
      </c>
    </row>
    <row r="27" spans="2:2" ht="19.5" customHeight="1">
      <c r="B27" s="49" t="s">
        <v>113</v>
      </c>
    </row>
    <row r="28" spans="2:2">
      <c r="B28" s="49"/>
    </row>
    <row r="29" spans="2:2">
      <c r="B29" s="50" t="s">
        <v>114</v>
      </c>
    </row>
    <row r="30" spans="2:2" ht="33.75" customHeight="1">
      <c r="B30" s="48" t="s">
        <v>115</v>
      </c>
    </row>
    <row r="31" spans="2:2" ht="18" customHeight="1">
      <c r="B31" s="48" t="s">
        <v>142</v>
      </c>
    </row>
    <row r="32" spans="2:2" ht="34.5" customHeight="1">
      <c r="B32" s="48" t="s">
        <v>116</v>
      </c>
    </row>
    <row r="33" spans="2:2" ht="50.25" customHeight="1">
      <c r="B33" s="48" t="s">
        <v>117</v>
      </c>
    </row>
    <row r="34" spans="2:2" ht="18.75" customHeight="1">
      <c r="B34" s="49" t="s">
        <v>119</v>
      </c>
    </row>
    <row r="35" spans="2:2" ht="34.5" customHeight="1">
      <c r="B35" s="48" t="s">
        <v>120</v>
      </c>
    </row>
    <row r="37" spans="2:2">
      <c r="B37" s="50" t="s">
        <v>122</v>
      </c>
    </row>
    <row r="38" spans="2:2" ht="36.75" customHeight="1">
      <c r="B38" s="48" t="s">
        <v>146</v>
      </c>
    </row>
    <row r="39" spans="2:2" ht="33.75" customHeight="1">
      <c r="B39" s="48" t="s">
        <v>123</v>
      </c>
    </row>
    <row r="40" spans="2:2" ht="22.5" customHeight="1">
      <c r="B40" s="53" t="s">
        <v>147</v>
      </c>
    </row>
    <row r="41" spans="2:2" ht="33.75" customHeight="1">
      <c r="B41" s="48" t="s">
        <v>124</v>
      </c>
    </row>
    <row r="42" spans="2:2" ht="52.5" customHeight="1">
      <c r="B42" s="48" t="s">
        <v>126</v>
      </c>
    </row>
    <row r="43" spans="2:2" ht="51" customHeight="1">
      <c r="B43" s="48" t="s">
        <v>127</v>
      </c>
    </row>
  </sheetData>
  <pageMargins left="0.7" right="0.7" top="0.75" bottom="0.75" header="0.3" footer="0.3"/>
  <pageSetup scale="97" orientation="portrait" r:id="rId1"/>
  <rowBreaks count="1" manualBreakCount="1">
    <brk id="27"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61DC-F944-449A-94E3-496B5768465A}">
  <dimension ref="A1:AF58"/>
  <sheetViews>
    <sheetView zoomScale="80" zoomScaleNormal="80" workbookViewId="0">
      <pane xSplit="4" ySplit="5" topLeftCell="E6" activePane="bottomRight" state="frozen"/>
      <selection pane="topRight" activeCell="E1" sqref="E1"/>
      <selection pane="bottomLeft" activeCell="A10" sqref="A10"/>
      <selection pane="bottomRight" activeCell="C1" sqref="C1"/>
    </sheetView>
  </sheetViews>
  <sheetFormatPr defaultRowHeight="14.4"/>
  <cols>
    <col min="1" max="1" width="102.5546875" customWidth="1"/>
    <col min="2" max="2" width="26.44140625" hidden="1" customWidth="1"/>
    <col min="3" max="3" width="25.33203125" bestFit="1" customWidth="1"/>
    <col min="4" max="4" width="3" customWidth="1"/>
    <col min="5" max="16" width="9.88671875" customWidth="1"/>
    <col min="17" max="18" width="10.5546875" bestFit="1" customWidth="1"/>
    <col min="19" max="19" width="7.6640625" bestFit="1" customWidth="1"/>
    <col min="20" max="20" width="7.6640625" hidden="1" customWidth="1"/>
    <col min="21" max="21" width="8" hidden="1" customWidth="1"/>
    <col min="22" max="30" width="7.6640625" hidden="1" customWidth="1"/>
    <col min="31" max="31" width="7.88671875" hidden="1" customWidth="1"/>
    <col min="32" max="32" width="0" hidden="1" customWidth="1"/>
  </cols>
  <sheetData>
    <row r="1" spans="1:32">
      <c r="A1" s="108" t="s">
        <v>152</v>
      </c>
      <c r="C1" t="s">
        <v>103</v>
      </c>
      <c r="D1" s="12"/>
      <c r="E1" s="21">
        <v>22</v>
      </c>
      <c r="F1">
        <v>20</v>
      </c>
      <c r="G1">
        <v>21</v>
      </c>
      <c r="H1">
        <v>22</v>
      </c>
      <c r="I1">
        <v>22</v>
      </c>
      <c r="J1">
        <v>20</v>
      </c>
      <c r="K1">
        <v>22</v>
      </c>
      <c r="L1">
        <v>22</v>
      </c>
      <c r="M1">
        <v>20</v>
      </c>
      <c r="N1">
        <v>23</v>
      </c>
      <c r="O1">
        <v>20</v>
      </c>
      <c r="P1">
        <v>21</v>
      </c>
      <c r="Q1">
        <v>22</v>
      </c>
      <c r="R1">
        <v>20</v>
      </c>
      <c r="S1">
        <v>22</v>
      </c>
    </row>
    <row r="2" spans="1:32">
      <c r="A2" s="109"/>
      <c r="C2" t="s">
        <v>77</v>
      </c>
      <c r="D2" s="12"/>
      <c r="E2" s="79">
        <f t="shared" ref="E2:S2" si="0">E10/E1</f>
        <v>4.5454545454545459</v>
      </c>
      <c r="F2" s="79">
        <f t="shared" si="0"/>
        <v>5</v>
      </c>
      <c r="G2" s="79">
        <f t="shared" si="0"/>
        <v>4.7619047619047619</v>
      </c>
      <c r="H2" s="79">
        <f t="shared" si="0"/>
        <v>4.5454545454545459</v>
      </c>
      <c r="I2" s="79">
        <f t="shared" si="0"/>
        <v>4.5454545454545459</v>
      </c>
      <c r="J2" s="79">
        <f t="shared" si="0"/>
        <v>5</v>
      </c>
      <c r="K2" s="79">
        <f t="shared" si="0"/>
        <v>4.5454545454545459</v>
      </c>
      <c r="L2" s="79">
        <f t="shared" si="0"/>
        <v>4.5454545454545459</v>
      </c>
      <c r="M2" s="79">
        <f t="shared" si="0"/>
        <v>5</v>
      </c>
      <c r="N2" s="79">
        <f t="shared" si="0"/>
        <v>4.3478260869565215</v>
      </c>
      <c r="O2" s="79">
        <f t="shared" si="0"/>
        <v>5</v>
      </c>
      <c r="P2" s="79">
        <f t="shared" si="0"/>
        <v>4.7619047619047619</v>
      </c>
      <c r="Q2" s="79">
        <f t="shared" si="0"/>
        <v>4.5454545454545459</v>
      </c>
      <c r="R2" s="79">
        <f t="shared" si="0"/>
        <v>5</v>
      </c>
      <c r="S2" s="79">
        <f t="shared" si="0"/>
        <v>4.5454545454545459</v>
      </c>
    </row>
    <row r="3" spans="1:32">
      <c r="A3" s="109"/>
      <c r="D3" s="12"/>
      <c r="E3" s="56"/>
      <c r="F3" s="56"/>
      <c r="G3" s="56"/>
      <c r="H3" s="56"/>
      <c r="I3" s="56"/>
      <c r="J3" s="56"/>
      <c r="K3" s="56"/>
      <c r="L3" s="56"/>
      <c r="M3" s="56"/>
      <c r="N3" s="56"/>
      <c r="O3" s="56"/>
      <c r="P3" s="56"/>
      <c r="Q3" s="56"/>
      <c r="R3" s="56"/>
      <c r="S3" s="56"/>
    </row>
    <row r="4" spans="1:32" ht="18">
      <c r="A4" s="109"/>
      <c r="D4" s="12"/>
      <c r="E4" s="107" t="s">
        <v>101</v>
      </c>
      <c r="F4" s="107"/>
      <c r="G4" s="107"/>
      <c r="H4" s="107"/>
      <c r="I4" s="107"/>
      <c r="J4" s="107"/>
      <c r="K4" s="107"/>
      <c r="L4" s="107"/>
      <c r="M4" s="107"/>
      <c r="N4" s="107"/>
      <c r="O4" s="107"/>
      <c r="P4" s="107"/>
      <c r="Q4" s="107" t="s">
        <v>102</v>
      </c>
      <c r="R4" s="107"/>
      <c r="S4" s="107"/>
    </row>
    <row r="5" spans="1:32" ht="28.8">
      <c r="A5" s="2" t="s">
        <v>25</v>
      </c>
      <c r="B5" s="2" t="s">
        <v>26</v>
      </c>
      <c r="C5" s="74" t="s">
        <v>134</v>
      </c>
      <c r="D5" s="12"/>
      <c r="E5" s="13">
        <v>43831</v>
      </c>
      <c r="F5" s="13">
        <v>43862</v>
      </c>
      <c r="G5" s="13">
        <v>43891</v>
      </c>
      <c r="H5" s="13">
        <v>43922</v>
      </c>
      <c r="I5" s="13">
        <v>43952</v>
      </c>
      <c r="J5" s="13">
        <v>43983</v>
      </c>
      <c r="K5" s="13">
        <v>44013</v>
      </c>
      <c r="L5" s="13">
        <v>44044</v>
      </c>
      <c r="M5" s="13">
        <v>44075</v>
      </c>
      <c r="N5" s="13">
        <v>44105</v>
      </c>
      <c r="O5" s="13">
        <v>44136</v>
      </c>
      <c r="P5" s="13">
        <v>44166</v>
      </c>
      <c r="Q5" s="13">
        <v>40180</v>
      </c>
      <c r="R5" s="13">
        <v>44228</v>
      </c>
      <c r="S5" s="13">
        <v>44256</v>
      </c>
      <c r="T5" s="55">
        <f>'Proforma P&amp;L'!E9</f>
        <v>43941</v>
      </c>
      <c r="U5" s="55">
        <f>'Proforma P&amp;L'!F9</f>
        <v>43971</v>
      </c>
      <c r="V5" s="55">
        <f>'Proforma P&amp;L'!G9</f>
        <v>44002</v>
      </c>
      <c r="W5" s="55">
        <f>'Proforma P&amp;L'!H9</f>
        <v>44032</v>
      </c>
      <c r="X5" s="55">
        <f>'Proforma P&amp;L'!I9</f>
        <v>44063</v>
      </c>
      <c r="Y5" s="55">
        <f>'Proforma P&amp;L'!J9</f>
        <v>44094</v>
      </c>
      <c r="Z5" s="55">
        <f>'Proforma P&amp;L'!K9</f>
        <v>44124</v>
      </c>
      <c r="AA5" s="55">
        <f>'Proforma P&amp;L'!L9</f>
        <v>44155</v>
      </c>
      <c r="AB5" s="55">
        <f>'Proforma P&amp;L'!M9</f>
        <v>44185</v>
      </c>
      <c r="AC5" s="55">
        <f>'Proforma P&amp;L'!N9</f>
        <v>44217</v>
      </c>
      <c r="AD5" s="55">
        <f>'Proforma P&amp;L'!O9</f>
        <v>44248</v>
      </c>
      <c r="AE5" s="55">
        <f>'Proforma P&amp;L'!P9</f>
        <v>44276</v>
      </c>
    </row>
    <row r="6" spans="1:32" s="9" customFormat="1">
      <c r="A6" s="8" t="s">
        <v>7</v>
      </c>
      <c r="D6" s="12" t="s">
        <v>14</v>
      </c>
      <c r="E6" s="10"/>
      <c r="F6" s="10"/>
      <c r="G6" s="10"/>
      <c r="H6" s="10"/>
      <c r="I6" s="10"/>
      <c r="J6" s="10"/>
      <c r="K6" s="10"/>
      <c r="L6" s="10"/>
      <c r="M6" s="10"/>
      <c r="N6" s="10"/>
      <c r="O6" s="10"/>
      <c r="P6" s="10"/>
      <c r="Q6" s="10"/>
      <c r="R6" s="10"/>
      <c r="S6" s="10"/>
    </row>
    <row r="7" spans="1:32">
      <c r="A7" s="3" t="s">
        <v>71</v>
      </c>
      <c r="B7" t="s">
        <v>7</v>
      </c>
      <c r="D7" s="60"/>
      <c r="E7" s="78">
        <v>80</v>
      </c>
      <c r="F7" s="78">
        <v>80</v>
      </c>
      <c r="G7" s="78">
        <v>80</v>
      </c>
      <c r="H7" s="78">
        <v>80</v>
      </c>
      <c r="I7" s="78">
        <v>80</v>
      </c>
      <c r="J7" s="78">
        <v>80</v>
      </c>
      <c r="K7" s="78">
        <v>80</v>
      </c>
      <c r="L7" s="78">
        <v>80</v>
      </c>
      <c r="M7" s="78">
        <v>80</v>
      </c>
      <c r="N7" s="78">
        <v>80</v>
      </c>
      <c r="O7" s="78">
        <v>80</v>
      </c>
      <c r="P7" s="78">
        <v>80</v>
      </c>
      <c r="Q7" s="78">
        <v>80</v>
      </c>
      <c r="R7" s="78">
        <v>80</v>
      </c>
      <c r="S7" s="78">
        <v>80</v>
      </c>
      <c r="T7" s="10">
        <f>'Proforma P&amp;L'!E11</f>
        <v>80.000000000000014</v>
      </c>
      <c r="U7" s="10">
        <f>'Proforma P&amp;L'!F11</f>
        <v>58.181818181818187</v>
      </c>
      <c r="V7" s="10">
        <f>'Proforma P&amp;L'!G11</f>
        <v>52.800000000000004</v>
      </c>
      <c r="W7" s="10">
        <f>'Proforma P&amp;L'!H11</f>
        <v>32.000000000000007</v>
      </c>
      <c r="X7" s="10">
        <f>'Proforma P&amp;L'!I11</f>
        <v>15.272727272727275</v>
      </c>
      <c r="Y7" s="10">
        <f>'Proforma P&amp;L'!J11</f>
        <v>16.8</v>
      </c>
      <c r="Z7" s="10">
        <f>'Proforma P&amp;L'!K11</f>
        <v>30.608695652173914</v>
      </c>
      <c r="AA7" s="10">
        <f>'Proforma P&amp;L'!L11</f>
        <v>48</v>
      </c>
      <c r="AB7" s="10">
        <f>'Proforma P&amp;L'!M11</f>
        <v>67.047619047619051</v>
      </c>
      <c r="AC7" s="10">
        <f>'Proforma P&amp;L'!N11</f>
        <v>72.727272727272734</v>
      </c>
      <c r="AD7" s="10">
        <f>'Proforma P&amp;L'!O11</f>
        <v>84</v>
      </c>
      <c r="AE7" s="10">
        <f>'Proforma P&amp;L'!P11</f>
        <v>92.000000000000028</v>
      </c>
    </row>
    <row r="8" spans="1:32">
      <c r="A8" s="3" t="s">
        <v>72</v>
      </c>
      <c r="B8" t="s">
        <v>7</v>
      </c>
      <c r="D8" s="60"/>
      <c r="E8" s="78">
        <v>20</v>
      </c>
      <c r="F8" s="78">
        <v>20</v>
      </c>
      <c r="G8" s="78">
        <v>20</v>
      </c>
      <c r="H8" s="78">
        <v>20</v>
      </c>
      <c r="I8" s="78">
        <v>20</v>
      </c>
      <c r="J8" s="78">
        <v>20</v>
      </c>
      <c r="K8" s="78">
        <v>20</v>
      </c>
      <c r="L8" s="78">
        <v>20</v>
      </c>
      <c r="M8" s="78">
        <v>20</v>
      </c>
      <c r="N8" s="78">
        <v>20</v>
      </c>
      <c r="O8" s="78">
        <v>20</v>
      </c>
      <c r="P8" s="78">
        <v>20</v>
      </c>
      <c r="Q8" s="78">
        <v>20</v>
      </c>
      <c r="R8" s="78">
        <v>20</v>
      </c>
      <c r="S8" s="78">
        <v>20</v>
      </c>
      <c r="T8" s="6">
        <f>'Proforma P&amp;L'!E12</f>
        <v>20.000000000000004</v>
      </c>
      <c r="U8" s="6">
        <f>'Proforma P&amp;L'!F12</f>
        <v>14.545454545454547</v>
      </c>
      <c r="V8" s="6">
        <f>'Proforma P&amp;L'!G12</f>
        <v>13.200000000000001</v>
      </c>
      <c r="W8" s="6">
        <f>'Proforma P&amp;L'!H12</f>
        <v>8.0000000000000018</v>
      </c>
      <c r="X8" s="6">
        <f>'Proforma P&amp;L'!I12</f>
        <v>3.8181818181818188</v>
      </c>
      <c r="Y8" s="6">
        <f>'Proforma P&amp;L'!J12</f>
        <v>4.2</v>
      </c>
      <c r="Z8" s="6">
        <f>'Proforma P&amp;L'!K12</f>
        <v>7.6521739130434785</v>
      </c>
      <c r="AA8" s="6">
        <f>'Proforma P&amp;L'!L12</f>
        <v>12</v>
      </c>
      <c r="AB8" s="6">
        <f>'Proforma P&amp;L'!M12</f>
        <v>16.761904761904763</v>
      </c>
      <c r="AC8" s="6">
        <f>'Proforma P&amp;L'!N12</f>
        <v>18.181818181818183</v>
      </c>
      <c r="AD8" s="6">
        <f>'Proforma P&amp;L'!O12</f>
        <v>21</v>
      </c>
      <c r="AE8" s="6">
        <f>'Proforma P&amp;L'!P12</f>
        <v>23.000000000000007</v>
      </c>
    </row>
    <row r="9" spans="1:32" hidden="1">
      <c r="A9" s="3" t="s">
        <v>12</v>
      </c>
      <c r="B9" t="s">
        <v>7</v>
      </c>
      <c r="D9" s="12"/>
      <c r="E9" s="47"/>
      <c r="F9" s="47"/>
      <c r="G9" s="47"/>
      <c r="H9" s="47"/>
      <c r="I9" s="47"/>
      <c r="J9" s="47"/>
      <c r="K9" s="47"/>
      <c r="L9" s="47"/>
      <c r="M9" s="47"/>
      <c r="N9" s="47"/>
      <c r="O9" s="47"/>
      <c r="P9" s="47"/>
      <c r="Q9" s="47"/>
      <c r="R9" s="47"/>
      <c r="S9" s="47"/>
    </row>
    <row r="10" spans="1:32" s="8" customFormat="1">
      <c r="A10" s="8" t="s">
        <v>57</v>
      </c>
      <c r="B10" s="1" t="s">
        <v>38</v>
      </c>
      <c r="D10" s="18"/>
      <c r="E10" s="80">
        <f t="shared" ref="E10:AE10" si="1">E7+E8-E9</f>
        <v>100</v>
      </c>
      <c r="F10" s="80">
        <f t="shared" si="1"/>
        <v>100</v>
      </c>
      <c r="G10" s="80">
        <f t="shared" si="1"/>
        <v>100</v>
      </c>
      <c r="H10" s="80">
        <f t="shared" si="1"/>
        <v>100</v>
      </c>
      <c r="I10" s="80">
        <f t="shared" si="1"/>
        <v>100</v>
      </c>
      <c r="J10" s="80">
        <f t="shared" si="1"/>
        <v>100</v>
      </c>
      <c r="K10" s="80">
        <f t="shared" si="1"/>
        <v>100</v>
      </c>
      <c r="L10" s="80">
        <f t="shared" si="1"/>
        <v>100</v>
      </c>
      <c r="M10" s="80">
        <f t="shared" si="1"/>
        <v>100</v>
      </c>
      <c r="N10" s="80">
        <f t="shared" si="1"/>
        <v>100</v>
      </c>
      <c r="O10" s="80">
        <f t="shared" si="1"/>
        <v>100</v>
      </c>
      <c r="P10" s="80">
        <f t="shared" si="1"/>
        <v>100</v>
      </c>
      <c r="Q10" s="80">
        <f t="shared" si="1"/>
        <v>100</v>
      </c>
      <c r="R10" s="80">
        <f t="shared" si="1"/>
        <v>100</v>
      </c>
      <c r="S10" s="80">
        <f t="shared" si="1"/>
        <v>100</v>
      </c>
      <c r="T10" s="15">
        <f t="shared" si="1"/>
        <v>100.00000000000001</v>
      </c>
      <c r="U10" s="15">
        <f t="shared" si="1"/>
        <v>72.727272727272734</v>
      </c>
      <c r="V10" s="15">
        <f t="shared" si="1"/>
        <v>66</v>
      </c>
      <c r="W10" s="15">
        <f t="shared" si="1"/>
        <v>40.000000000000007</v>
      </c>
      <c r="X10" s="15">
        <f t="shared" si="1"/>
        <v>19.090909090909093</v>
      </c>
      <c r="Y10" s="15">
        <f t="shared" si="1"/>
        <v>21</v>
      </c>
      <c r="Z10" s="15">
        <f t="shared" si="1"/>
        <v>38.260869565217391</v>
      </c>
      <c r="AA10" s="15">
        <f t="shared" si="1"/>
        <v>60</v>
      </c>
      <c r="AB10" s="15">
        <f t="shared" si="1"/>
        <v>83.80952380952381</v>
      </c>
      <c r="AC10" s="15">
        <f t="shared" si="1"/>
        <v>90.909090909090921</v>
      </c>
      <c r="AD10" s="15">
        <f t="shared" si="1"/>
        <v>105</v>
      </c>
      <c r="AE10" s="15">
        <f t="shared" si="1"/>
        <v>115.00000000000003</v>
      </c>
    </row>
    <row r="11" spans="1:32">
      <c r="A11" t="s">
        <v>14</v>
      </c>
      <c r="D11" s="12"/>
      <c r="E11" s="6"/>
      <c r="F11" s="6"/>
      <c r="G11" s="6"/>
      <c r="H11" s="6"/>
      <c r="I11" s="6"/>
      <c r="J11" s="6"/>
      <c r="K11" s="6"/>
      <c r="L11" s="6"/>
      <c r="M11" s="6"/>
      <c r="N11" s="6"/>
      <c r="O11" s="6"/>
      <c r="P11" s="6"/>
      <c r="Q11" s="6"/>
      <c r="R11" s="6"/>
      <c r="S11" s="5" t="s">
        <v>14</v>
      </c>
    </row>
    <row r="12" spans="1:32" s="1" customFormat="1">
      <c r="A12" s="1" t="s">
        <v>6</v>
      </c>
      <c r="B12" s="1" t="s">
        <v>14</v>
      </c>
      <c r="D12" s="18"/>
      <c r="E12" s="16"/>
      <c r="F12" s="16"/>
      <c r="G12" s="16"/>
      <c r="H12" s="16"/>
      <c r="I12" s="16"/>
      <c r="J12" s="16"/>
      <c r="K12" s="16"/>
      <c r="L12" s="16"/>
      <c r="M12" s="16"/>
      <c r="N12" s="16"/>
      <c r="O12" s="16"/>
      <c r="P12" s="16"/>
      <c r="Q12" s="16"/>
      <c r="R12" s="16"/>
      <c r="S12" s="16"/>
    </row>
    <row r="13" spans="1:32">
      <c r="A13" s="3" t="s">
        <v>78</v>
      </c>
      <c r="B13" t="s">
        <v>6</v>
      </c>
      <c r="D13" s="60"/>
      <c r="E13" s="78">
        <v>60</v>
      </c>
      <c r="F13" s="78">
        <v>60</v>
      </c>
      <c r="G13" s="78">
        <v>60</v>
      </c>
      <c r="H13" s="78">
        <v>60</v>
      </c>
      <c r="I13" s="78">
        <v>60</v>
      </c>
      <c r="J13" s="78">
        <v>60</v>
      </c>
      <c r="K13" s="78">
        <v>60</v>
      </c>
      <c r="L13" s="78">
        <v>60</v>
      </c>
      <c r="M13" s="78">
        <v>60</v>
      </c>
      <c r="N13" s="78">
        <v>60</v>
      </c>
      <c r="O13" s="78">
        <v>60</v>
      </c>
      <c r="P13" s="78">
        <v>60</v>
      </c>
      <c r="Q13" s="78">
        <v>60</v>
      </c>
      <c r="R13" s="78">
        <v>60</v>
      </c>
      <c r="S13" s="78">
        <v>60</v>
      </c>
      <c r="T13" s="6">
        <f>'Proforma P&amp;L'!E17</f>
        <v>60.000000000000014</v>
      </c>
      <c r="U13" s="6">
        <f>'Proforma P&amp;L'!F17</f>
        <v>43.63636363636364</v>
      </c>
      <c r="V13" s="6">
        <f>'Proforma P&amp;L'!G17</f>
        <v>39.600000000000009</v>
      </c>
      <c r="W13" s="6">
        <f>'Proforma P&amp;L'!H17</f>
        <v>24.000000000000004</v>
      </c>
      <c r="X13" s="6">
        <f>'Proforma P&amp;L'!I17</f>
        <v>11.454545454545459</v>
      </c>
      <c r="Y13" s="6">
        <f>'Proforma P&amp;L'!J17</f>
        <v>12.6</v>
      </c>
      <c r="Z13" s="6">
        <f>'Proforma P&amp;L'!K17</f>
        <v>22.956521739130437</v>
      </c>
      <c r="AA13" s="6">
        <f>'Proforma P&amp;L'!L17</f>
        <v>36</v>
      </c>
      <c r="AB13" s="6">
        <f>'Proforma P&amp;L'!M17</f>
        <v>50.285714285714285</v>
      </c>
      <c r="AC13" s="6">
        <f>'Proforma P&amp;L'!N17</f>
        <v>54.545454545454561</v>
      </c>
      <c r="AD13" s="6">
        <f>'Proforma P&amp;L'!O17</f>
        <v>63.000000000000007</v>
      </c>
      <c r="AE13" s="6">
        <f>'Proforma P&amp;L'!P17</f>
        <v>69.000000000000014</v>
      </c>
      <c r="AF13" s="9"/>
    </row>
    <row r="14" spans="1:32">
      <c r="A14" s="3" t="s">
        <v>79</v>
      </c>
      <c r="B14" t="s">
        <v>6</v>
      </c>
      <c r="D14" s="60"/>
      <c r="E14" s="78">
        <v>18</v>
      </c>
      <c r="F14" s="78">
        <v>18</v>
      </c>
      <c r="G14" s="78">
        <v>18</v>
      </c>
      <c r="H14" s="78">
        <v>18</v>
      </c>
      <c r="I14" s="78">
        <v>18</v>
      </c>
      <c r="J14" s="78">
        <v>18</v>
      </c>
      <c r="K14" s="78">
        <v>18</v>
      </c>
      <c r="L14" s="78">
        <v>18</v>
      </c>
      <c r="M14" s="78">
        <v>18</v>
      </c>
      <c r="N14" s="78">
        <v>18</v>
      </c>
      <c r="O14" s="78">
        <v>18</v>
      </c>
      <c r="P14" s="78">
        <v>18</v>
      </c>
      <c r="Q14" s="78">
        <v>18</v>
      </c>
      <c r="R14" s="78">
        <v>18</v>
      </c>
      <c r="S14" s="78">
        <v>18</v>
      </c>
      <c r="T14" s="6">
        <f>'Proforma P&amp;L'!E18</f>
        <v>18.000000000000004</v>
      </c>
      <c r="U14" s="6">
        <f>'Proforma P&amp;L'!F18</f>
        <v>13.090909090909093</v>
      </c>
      <c r="V14" s="6">
        <f>'Proforma P&amp;L'!G18</f>
        <v>11.88</v>
      </c>
      <c r="W14" s="6">
        <f>'Proforma P&amp;L'!H18</f>
        <v>7.2000000000000011</v>
      </c>
      <c r="X14" s="6">
        <f>'Proforma P&amp;L'!I18</f>
        <v>3.4363636363636374</v>
      </c>
      <c r="Y14" s="6">
        <f>'Proforma P&amp;L'!J18</f>
        <v>3.78</v>
      </c>
      <c r="Z14" s="6">
        <f>'Proforma P&amp;L'!K18</f>
        <v>6.8869565217391315</v>
      </c>
      <c r="AA14" s="6">
        <f>'Proforma P&amp;L'!L18</f>
        <v>10.8</v>
      </c>
      <c r="AB14" s="6">
        <f>'Proforma P&amp;L'!M18</f>
        <v>15.085714285714285</v>
      </c>
      <c r="AC14" s="6">
        <f>'Proforma P&amp;L'!N18</f>
        <v>16.363636363636367</v>
      </c>
      <c r="AD14" s="6">
        <f>'Proforma P&amp;L'!O18</f>
        <v>18.900000000000002</v>
      </c>
      <c r="AE14" s="6">
        <f>'Proforma P&amp;L'!P18</f>
        <v>20.700000000000006</v>
      </c>
    </row>
    <row r="15" spans="1:32" hidden="1">
      <c r="A15" s="3" t="s">
        <v>13</v>
      </c>
      <c r="B15" t="s">
        <v>6</v>
      </c>
      <c r="D15" s="12"/>
      <c r="E15" s="47"/>
      <c r="F15" s="47"/>
      <c r="G15" s="47"/>
      <c r="H15" s="47"/>
      <c r="I15" s="47"/>
      <c r="J15" s="47"/>
      <c r="K15" s="47"/>
      <c r="L15" s="47"/>
      <c r="M15" s="47"/>
      <c r="N15" s="47"/>
      <c r="O15" s="47"/>
      <c r="P15" s="47"/>
      <c r="Q15" s="47"/>
      <c r="R15" s="47"/>
      <c r="S15" s="47"/>
    </row>
    <row r="16" spans="1:32" hidden="1">
      <c r="A16" s="3" t="s">
        <v>11</v>
      </c>
      <c r="B16" t="s">
        <v>6</v>
      </c>
      <c r="D16" s="12"/>
      <c r="E16" s="47"/>
      <c r="F16" s="47"/>
      <c r="G16" s="47"/>
      <c r="H16" s="47"/>
      <c r="I16" s="47"/>
      <c r="J16" s="47"/>
      <c r="K16" s="47"/>
      <c r="L16" s="47"/>
      <c r="M16" s="47"/>
      <c r="N16" s="47"/>
      <c r="O16" s="47"/>
      <c r="P16" s="47"/>
      <c r="Q16" s="47"/>
      <c r="R16" s="47"/>
      <c r="S16" s="47"/>
    </row>
    <row r="17" spans="1:31" hidden="1">
      <c r="A17" s="3" t="s">
        <v>62</v>
      </c>
      <c r="B17" t="s">
        <v>6</v>
      </c>
      <c r="D17" s="12"/>
      <c r="E17" s="47"/>
      <c r="F17" s="47"/>
      <c r="G17" s="47"/>
      <c r="H17" s="47"/>
      <c r="I17" s="47"/>
      <c r="J17" s="47"/>
      <c r="K17" s="47"/>
      <c r="L17" s="47"/>
      <c r="M17" s="47"/>
      <c r="N17" s="47"/>
      <c r="O17" s="47"/>
      <c r="P17" s="47"/>
      <c r="Q17" s="47"/>
      <c r="R17" s="47"/>
      <c r="S17" s="47"/>
    </row>
    <row r="18" spans="1:31" hidden="1">
      <c r="A18" s="3" t="s">
        <v>63</v>
      </c>
      <c r="B18" t="s">
        <v>6</v>
      </c>
      <c r="D18" s="12"/>
      <c r="E18" s="47"/>
      <c r="F18" s="47"/>
      <c r="G18" s="47"/>
      <c r="H18" s="47"/>
      <c r="I18" s="47"/>
      <c r="J18" s="47"/>
      <c r="K18" s="47"/>
      <c r="L18" s="47"/>
      <c r="M18" s="47"/>
      <c r="N18" s="47"/>
      <c r="O18" s="47"/>
      <c r="P18" s="47"/>
      <c r="Q18" s="47"/>
      <c r="R18" s="47"/>
      <c r="S18" s="47"/>
    </row>
    <row r="19" spans="1:31" s="8" customFormat="1">
      <c r="A19" s="8" t="s">
        <v>58</v>
      </c>
      <c r="B19" s="1" t="s">
        <v>38</v>
      </c>
      <c r="D19" s="18"/>
      <c r="E19" s="80">
        <f>E13+E14+E15-E16-E17+E18</f>
        <v>78</v>
      </c>
      <c r="F19" s="80">
        <f t="shared" ref="F19:P19" si="2">F13+F14+F15-F16-F17+F18</f>
        <v>78</v>
      </c>
      <c r="G19" s="80">
        <f t="shared" si="2"/>
        <v>78</v>
      </c>
      <c r="H19" s="80">
        <f t="shared" si="2"/>
        <v>78</v>
      </c>
      <c r="I19" s="80">
        <f t="shared" si="2"/>
        <v>78</v>
      </c>
      <c r="J19" s="80">
        <f t="shared" si="2"/>
        <v>78</v>
      </c>
      <c r="K19" s="80">
        <f t="shared" si="2"/>
        <v>78</v>
      </c>
      <c r="L19" s="80">
        <f t="shared" si="2"/>
        <v>78</v>
      </c>
      <c r="M19" s="80">
        <f t="shared" si="2"/>
        <v>78</v>
      </c>
      <c r="N19" s="80">
        <f t="shared" si="2"/>
        <v>78</v>
      </c>
      <c r="O19" s="80">
        <f t="shared" si="2"/>
        <v>78</v>
      </c>
      <c r="P19" s="80">
        <f t="shared" si="2"/>
        <v>78</v>
      </c>
      <c r="Q19" s="80">
        <f t="shared" ref="Q19" si="3">Q13+Q14+Q15-Q16-Q17+Q18</f>
        <v>78</v>
      </c>
      <c r="R19" s="80">
        <f t="shared" ref="R19" si="4">R13+R14+R15-R16-R17+R18</f>
        <v>78</v>
      </c>
      <c r="S19" s="80">
        <f>S13+S14+S15-S16-S17+S18</f>
        <v>78</v>
      </c>
      <c r="T19" s="15">
        <f>T13+T14+T15-T16-T17+T18</f>
        <v>78.000000000000014</v>
      </c>
      <c r="U19" s="15">
        <f t="shared" ref="U19:AE19" si="5">U13+U14+U15-U16-U17+U18</f>
        <v>56.727272727272734</v>
      </c>
      <c r="V19" s="15">
        <f t="shared" si="5"/>
        <v>51.480000000000011</v>
      </c>
      <c r="W19" s="15">
        <f t="shared" si="5"/>
        <v>31.200000000000003</v>
      </c>
      <c r="X19" s="15">
        <f t="shared" si="5"/>
        <v>14.890909090909096</v>
      </c>
      <c r="Y19" s="15">
        <f t="shared" si="5"/>
        <v>16.38</v>
      </c>
      <c r="Z19" s="15">
        <f t="shared" si="5"/>
        <v>29.843478260869567</v>
      </c>
      <c r="AA19" s="15">
        <f t="shared" si="5"/>
        <v>46.8</v>
      </c>
      <c r="AB19" s="15">
        <f t="shared" si="5"/>
        <v>65.371428571428567</v>
      </c>
      <c r="AC19" s="15">
        <f t="shared" si="5"/>
        <v>70.909090909090935</v>
      </c>
      <c r="AD19" s="15">
        <f t="shared" si="5"/>
        <v>81.900000000000006</v>
      </c>
      <c r="AE19" s="15">
        <f t="shared" si="5"/>
        <v>89.700000000000017</v>
      </c>
    </row>
    <row r="20" spans="1:31">
      <c r="D20" s="12"/>
      <c r="E20" s="6"/>
      <c r="F20" s="6"/>
      <c r="G20" s="6"/>
      <c r="H20" s="6"/>
      <c r="I20" s="6"/>
      <c r="J20" s="6"/>
      <c r="K20" s="6"/>
      <c r="L20" s="6"/>
      <c r="M20" s="6"/>
      <c r="N20" s="6"/>
      <c r="O20" s="6"/>
      <c r="P20" s="6"/>
      <c r="Q20" s="6"/>
      <c r="R20" s="6"/>
      <c r="S20" s="6"/>
    </row>
    <row r="21" spans="1:31" s="1" customFormat="1">
      <c r="A21" s="1" t="s">
        <v>8</v>
      </c>
      <c r="B21" s="1" t="s">
        <v>38</v>
      </c>
      <c r="D21" s="18"/>
      <c r="E21" s="81">
        <f t="shared" ref="E21:P21" si="6">E10-E19</f>
        <v>22</v>
      </c>
      <c r="F21" s="81">
        <f t="shared" si="6"/>
        <v>22</v>
      </c>
      <c r="G21" s="81">
        <f t="shared" si="6"/>
        <v>22</v>
      </c>
      <c r="H21" s="81">
        <f t="shared" si="6"/>
        <v>22</v>
      </c>
      <c r="I21" s="81">
        <f t="shared" si="6"/>
        <v>22</v>
      </c>
      <c r="J21" s="81">
        <f t="shared" si="6"/>
        <v>22</v>
      </c>
      <c r="K21" s="81">
        <f t="shared" si="6"/>
        <v>22</v>
      </c>
      <c r="L21" s="81">
        <f t="shared" si="6"/>
        <v>22</v>
      </c>
      <c r="M21" s="81">
        <f t="shared" si="6"/>
        <v>22</v>
      </c>
      <c r="N21" s="81">
        <f t="shared" si="6"/>
        <v>22</v>
      </c>
      <c r="O21" s="81">
        <f t="shared" si="6"/>
        <v>22</v>
      </c>
      <c r="P21" s="81">
        <f t="shared" si="6"/>
        <v>22</v>
      </c>
      <c r="Q21" s="81">
        <f>Q10-Q19</f>
        <v>22</v>
      </c>
      <c r="R21" s="81">
        <f t="shared" ref="R21:AE21" si="7">R10-R19</f>
        <v>22</v>
      </c>
      <c r="S21" s="81">
        <f t="shared" si="7"/>
        <v>22</v>
      </c>
      <c r="T21" s="16">
        <f t="shared" si="7"/>
        <v>22</v>
      </c>
      <c r="U21" s="16">
        <f t="shared" si="7"/>
        <v>16</v>
      </c>
      <c r="V21" s="16">
        <f t="shared" si="7"/>
        <v>14.519999999999989</v>
      </c>
      <c r="W21" s="16">
        <f t="shared" si="7"/>
        <v>8.8000000000000043</v>
      </c>
      <c r="X21" s="16">
        <f t="shared" si="7"/>
        <v>4.1999999999999975</v>
      </c>
      <c r="Y21" s="16">
        <f t="shared" si="7"/>
        <v>4.620000000000001</v>
      </c>
      <c r="Z21" s="16">
        <f t="shared" si="7"/>
        <v>8.4173913043478237</v>
      </c>
      <c r="AA21" s="16">
        <f t="shared" si="7"/>
        <v>13.200000000000003</v>
      </c>
      <c r="AB21" s="16">
        <f t="shared" si="7"/>
        <v>18.438095238095244</v>
      </c>
      <c r="AC21" s="16">
        <f t="shared" si="7"/>
        <v>19.999999999999986</v>
      </c>
      <c r="AD21" s="16">
        <f t="shared" si="7"/>
        <v>23.099999999999994</v>
      </c>
      <c r="AE21" s="16">
        <f t="shared" si="7"/>
        <v>25.300000000000011</v>
      </c>
    </row>
    <row r="22" spans="1:31" s="1" customFormat="1">
      <c r="A22" s="1" t="s">
        <v>59</v>
      </c>
      <c r="B22" s="1" t="s">
        <v>38</v>
      </c>
      <c r="D22" s="18"/>
      <c r="E22" s="22">
        <f>E21/E10</f>
        <v>0.22</v>
      </c>
      <c r="F22" s="22">
        <f t="shared" ref="F22:P22" si="8">F21/F10</f>
        <v>0.22</v>
      </c>
      <c r="G22" s="22">
        <f t="shared" si="8"/>
        <v>0.22</v>
      </c>
      <c r="H22" s="22">
        <f t="shared" si="8"/>
        <v>0.22</v>
      </c>
      <c r="I22" s="22">
        <f t="shared" si="8"/>
        <v>0.22</v>
      </c>
      <c r="J22" s="22">
        <f t="shared" si="8"/>
        <v>0.22</v>
      </c>
      <c r="K22" s="22">
        <f t="shared" si="8"/>
        <v>0.22</v>
      </c>
      <c r="L22" s="22">
        <f t="shared" si="8"/>
        <v>0.22</v>
      </c>
      <c r="M22" s="22">
        <f t="shared" si="8"/>
        <v>0.22</v>
      </c>
      <c r="N22" s="22">
        <f t="shared" si="8"/>
        <v>0.22</v>
      </c>
      <c r="O22" s="22">
        <f t="shared" si="8"/>
        <v>0.22</v>
      </c>
      <c r="P22" s="22">
        <f t="shared" si="8"/>
        <v>0.22</v>
      </c>
      <c r="Q22" s="22">
        <f>Q21/Q10</f>
        <v>0.22</v>
      </c>
      <c r="R22" s="22">
        <f t="shared" ref="R22:AE22" si="9">R21/R10</f>
        <v>0.22</v>
      </c>
      <c r="S22" s="22">
        <f t="shared" si="9"/>
        <v>0.22</v>
      </c>
      <c r="T22" s="22">
        <f t="shared" si="9"/>
        <v>0.21999999999999997</v>
      </c>
      <c r="U22" s="22">
        <f t="shared" si="9"/>
        <v>0.21999999999999997</v>
      </c>
      <c r="V22" s="22">
        <f t="shared" si="9"/>
        <v>0.21999999999999983</v>
      </c>
      <c r="W22" s="22">
        <f t="shared" si="9"/>
        <v>0.22000000000000006</v>
      </c>
      <c r="X22" s="22">
        <f t="shared" si="9"/>
        <v>0.21999999999999983</v>
      </c>
      <c r="Y22" s="22">
        <f t="shared" si="9"/>
        <v>0.22000000000000006</v>
      </c>
      <c r="Z22" s="22">
        <f t="shared" si="9"/>
        <v>0.21999999999999995</v>
      </c>
      <c r="AA22" s="22">
        <f t="shared" si="9"/>
        <v>0.22000000000000006</v>
      </c>
      <c r="AB22" s="22">
        <f t="shared" si="9"/>
        <v>0.22000000000000006</v>
      </c>
      <c r="AC22" s="22">
        <f t="shared" si="9"/>
        <v>0.21999999999999981</v>
      </c>
      <c r="AD22" s="22">
        <f t="shared" si="9"/>
        <v>0.21999999999999995</v>
      </c>
      <c r="AE22" s="22">
        <f t="shared" si="9"/>
        <v>0.22000000000000006</v>
      </c>
    </row>
    <row r="23" spans="1:31">
      <c r="D23" s="12"/>
      <c r="E23" s="6"/>
      <c r="F23" s="6"/>
      <c r="G23" s="6"/>
      <c r="H23" s="6"/>
      <c r="I23" s="6"/>
      <c r="J23" s="6" t="s">
        <v>14</v>
      </c>
      <c r="K23" s="6"/>
      <c r="L23" s="6"/>
      <c r="M23" s="6"/>
      <c r="N23" s="6"/>
      <c r="O23" s="6"/>
      <c r="P23" s="6"/>
      <c r="Q23" s="6"/>
      <c r="R23" s="6"/>
      <c r="S23" s="6"/>
    </row>
    <row r="24" spans="1:31">
      <c r="D24" s="12"/>
      <c r="E24" s="6"/>
      <c r="F24" s="6"/>
      <c r="G24" s="6"/>
      <c r="H24" s="6"/>
      <c r="I24" s="6"/>
      <c r="J24" s="6"/>
      <c r="K24" s="6"/>
      <c r="L24" s="6"/>
      <c r="M24" s="6"/>
      <c r="N24" s="6"/>
      <c r="O24" s="6"/>
      <c r="P24" s="6"/>
      <c r="Q24" s="6"/>
      <c r="R24" s="6"/>
      <c r="S24" s="6"/>
    </row>
    <row r="25" spans="1:31" hidden="1">
      <c r="A25" s="1" t="s">
        <v>1</v>
      </c>
      <c r="B25" t="s">
        <v>14</v>
      </c>
      <c r="D25" s="12"/>
      <c r="E25" s="6"/>
      <c r="F25" s="6"/>
      <c r="G25" s="6"/>
      <c r="H25" s="6"/>
      <c r="I25" s="6"/>
      <c r="J25" s="6"/>
      <c r="K25" s="6"/>
      <c r="L25" s="6"/>
      <c r="M25" s="6"/>
      <c r="N25" s="6"/>
      <c r="O25" s="6"/>
      <c r="P25" s="6"/>
      <c r="Q25" s="6"/>
      <c r="R25" s="6"/>
      <c r="S25" s="6"/>
    </row>
    <row r="26" spans="1:31" s="1" customFormat="1">
      <c r="A26" s="1" t="s">
        <v>18</v>
      </c>
      <c r="B26" s="1" t="s">
        <v>38</v>
      </c>
      <c r="C26" s="62" t="s">
        <v>36</v>
      </c>
      <c r="D26" s="64"/>
      <c r="E26" s="82">
        <v>5</v>
      </c>
      <c r="F26" s="82">
        <v>5</v>
      </c>
      <c r="G26" s="82">
        <v>5</v>
      </c>
      <c r="H26" s="82">
        <v>5</v>
      </c>
      <c r="I26" s="82">
        <v>5</v>
      </c>
      <c r="J26" s="82">
        <v>5</v>
      </c>
      <c r="K26" s="82">
        <v>5</v>
      </c>
      <c r="L26" s="82">
        <v>5</v>
      </c>
      <c r="M26" s="82">
        <v>5</v>
      </c>
      <c r="N26" s="82">
        <v>5</v>
      </c>
      <c r="O26" s="82">
        <v>5</v>
      </c>
      <c r="P26" s="82">
        <v>5</v>
      </c>
      <c r="Q26" s="82">
        <v>5</v>
      </c>
      <c r="R26" s="82">
        <v>5</v>
      </c>
      <c r="S26" s="82">
        <v>5</v>
      </c>
      <c r="T26" s="16">
        <f>'Proforma P&amp;L'!E30</f>
        <v>5</v>
      </c>
      <c r="U26" s="16">
        <f>'Proforma P&amp;L'!F30</f>
        <v>4.5</v>
      </c>
      <c r="V26" s="16">
        <f>'Proforma P&amp;L'!G30</f>
        <v>4.1062500000000002</v>
      </c>
      <c r="W26" s="16">
        <f>'Proforma P&amp;L'!H30</f>
        <v>3.2974431818181822</v>
      </c>
      <c r="X26" s="16">
        <f>'Proforma P&amp;L'!I30</f>
        <v>2.4730823863636364</v>
      </c>
      <c r="Y26" s="16">
        <f>'Proforma P&amp;L'!J30</f>
        <v>2.5967365056818181</v>
      </c>
      <c r="Z26" s="16">
        <f>'Proforma P&amp;L'!K30</f>
        <v>3.556399996912055</v>
      </c>
      <c r="AA26" s="16">
        <f>'Proforma P&amp;L'!L30</f>
        <v>4.8455949957926752</v>
      </c>
      <c r="AB26" s="16">
        <f>'Proforma P&amp;L'!M30</f>
        <v>5.4993657491932746</v>
      </c>
      <c r="AC26" s="16">
        <f>'Proforma P&amp;L'!N30</f>
        <v>6.0305544863312619</v>
      </c>
      <c r="AD26" s="16">
        <f>'Proforma P&amp;L'!O30</f>
        <v>6.4979224590219342</v>
      </c>
      <c r="AE26" s="16">
        <f>'Proforma P&amp;L'!P30</f>
        <v>6.3432100195214129</v>
      </c>
    </row>
    <row r="27" spans="1:31" hidden="1">
      <c r="C27" s="63"/>
      <c r="D27" s="65"/>
      <c r="E27" s="82"/>
      <c r="F27" s="82"/>
      <c r="G27" s="82"/>
      <c r="H27" s="82"/>
      <c r="I27" s="82"/>
      <c r="J27" s="82"/>
      <c r="K27" s="82"/>
      <c r="L27" s="82"/>
      <c r="M27" s="82"/>
      <c r="N27" s="82"/>
      <c r="O27" s="82"/>
      <c r="P27" s="82"/>
      <c r="Q27" s="82"/>
      <c r="R27" s="82"/>
      <c r="S27" s="82"/>
    </row>
    <row r="28" spans="1:31" hidden="1">
      <c r="A28" s="1" t="s">
        <v>2</v>
      </c>
      <c r="C28" s="63"/>
      <c r="D28" s="65"/>
      <c r="E28" s="82"/>
      <c r="F28" s="82"/>
      <c r="G28" s="82"/>
      <c r="H28" s="82"/>
      <c r="I28" s="82"/>
      <c r="J28" s="82"/>
      <c r="K28" s="82"/>
      <c r="L28" s="82"/>
      <c r="M28" s="82"/>
      <c r="N28" s="82"/>
      <c r="O28" s="82"/>
      <c r="P28" s="82"/>
      <c r="Q28" s="82"/>
      <c r="R28" s="82"/>
      <c r="S28" s="82"/>
    </row>
    <row r="29" spans="1:31" s="1" customFormat="1">
      <c r="A29" s="1" t="s">
        <v>130</v>
      </c>
      <c r="B29" s="1" t="s">
        <v>38</v>
      </c>
      <c r="C29" s="62" t="s">
        <v>34</v>
      </c>
      <c r="D29" s="64"/>
      <c r="E29" s="82">
        <v>4</v>
      </c>
      <c r="F29" s="82">
        <v>4</v>
      </c>
      <c r="G29" s="82">
        <v>4</v>
      </c>
      <c r="H29" s="82">
        <v>4</v>
      </c>
      <c r="I29" s="82">
        <v>4</v>
      </c>
      <c r="J29" s="82">
        <v>4</v>
      </c>
      <c r="K29" s="82">
        <v>4</v>
      </c>
      <c r="L29" s="82">
        <v>4</v>
      </c>
      <c r="M29" s="82">
        <v>4</v>
      </c>
      <c r="N29" s="82">
        <v>4</v>
      </c>
      <c r="O29" s="82">
        <v>4</v>
      </c>
      <c r="P29" s="82">
        <v>4</v>
      </c>
      <c r="Q29" s="82">
        <v>4</v>
      </c>
      <c r="R29" s="82">
        <v>4</v>
      </c>
      <c r="S29" s="82">
        <v>4</v>
      </c>
      <c r="T29" s="16">
        <f>'Proforma P&amp;L'!E33</f>
        <v>4</v>
      </c>
      <c r="U29" s="16">
        <f>'Proforma P&amp;L'!F33</f>
        <v>3.1999999999999997</v>
      </c>
      <c r="V29" s="16">
        <f>'Proforma P&amp;L'!G33</f>
        <v>2.6399999999999997</v>
      </c>
      <c r="W29" s="16">
        <f>'Proforma P&amp;L'!H33</f>
        <v>1.6</v>
      </c>
      <c r="X29" s="16">
        <f>'Proforma P&amp;L'!I33</f>
        <v>0.79999999999999993</v>
      </c>
      <c r="Y29" s="16">
        <f>'Proforma P&amp;L'!J33</f>
        <v>0.87999999999999989</v>
      </c>
      <c r="Z29" s="16">
        <f>'Proforma P&amp;L'!K33</f>
        <v>1.5304347826086955</v>
      </c>
      <c r="AA29" s="16">
        <f>'Proforma P&amp;L'!L33</f>
        <v>2.6399999999999997</v>
      </c>
      <c r="AB29" s="16">
        <f>'Proforma P&amp;L'!M33</f>
        <v>3.352380952380952</v>
      </c>
      <c r="AC29" s="16">
        <f>'Proforma P&amp;L'!N33</f>
        <v>4</v>
      </c>
      <c r="AD29" s="16">
        <f>'Proforma P&amp;L'!O33</f>
        <v>4.6199999999999992</v>
      </c>
      <c r="AE29" s="16">
        <f>'Proforma P&amp;L'!P33</f>
        <v>4.4000000000000004</v>
      </c>
    </row>
    <row r="30" spans="1:31" hidden="1">
      <c r="C30" s="63"/>
      <c r="D30" s="65"/>
      <c r="E30" s="82"/>
      <c r="F30" s="82"/>
      <c r="G30" s="82"/>
      <c r="H30" s="82"/>
      <c r="I30" s="82"/>
      <c r="J30" s="82"/>
      <c r="K30" s="82"/>
      <c r="L30" s="82"/>
      <c r="M30" s="82"/>
      <c r="N30" s="82"/>
      <c r="O30" s="82"/>
      <c r="P30" s="82"/>
      <c r="Q30" s="82"/>
      <c r="R30" s="82"/>
      <c r="S30" s="82"/>
      <c r="T30" s="6"/>
      <c r="U30" s="6"/>
      <c r="V30" s="6"/>
      <c r="W30" s="6"/>
      <c r="X30" s="6"/>
      <c r="Y30" s="6"/>
      <c r="Z30" s="6"/>
      <c r="AA30" s="6"/>
      <c r="AB30" s="6"/>
      <c r="AC30" s="6"/>
      <c r="AD30" s="6"/>
      <c r="AE30" s="6"/>
    </row>
    <row r="31" spans="1:31" hidden="1">
      <c r="A31" s="1" t="s">
        <v>3</v>
      </c>
      <c r="C31" s="63"/>
      <c r="D31" s="65"/>
      <c r="E31" s="82"/>
      <c r="F31" s="82"/>
      <c r="G31" s="82"/>
      <c r="H31" s="82"/>
      <c r="I31" s="82"/>
      <c r="J31" s="82"/>
      <c r="K31" s="82"/>
      <c r="L31" s="82"/>
      <c r="M31" s="82"/>
      <c r="N31" s="82"/>
      <c r="O31" s="82"/>
      <c r="P31" s="82"/>
      <c r="Q31" s="82"/>
      <c r="R31" s="82"/>
      <c r="S31" s="82"/>
      <c r="T31" s="6"/>
      <c r="U31" s="6"/>
      <c r="V31" s="6"/>
      <c r="W31" s="6"/>
      <c r="X31" s="6"/>
      <c r="Y31" s="6"/>
      <c r="Z31" s="6"/>
      <c r="AA31" s="6"/>
      <c r="AB31" s="6"/>
      <c r="AC31" s="6"/>
      <c r="AD31" s="6"/>
      <c r="AE31" s="6"/>
    </row>
    <row r="32" spans="1:31" s="1" customFormat="1">
      <c r="A32" s="1" t="s">
        <v>19</v>
      </c>
      <c r="B32" s="1" t="s">
        <v>38</v>
      </c>
      <c r="C32" s="62" t="s">
        <v>37</v>
      </c>
      <c r="D32" s="64"/>
      <c r="E32" s="82">
        <v>3</v>
      </c>
      <c r="F32" s="82">
        <v>3</v>
      </c>
      <c r="G32" s="82">
        <v>3</v>
      </c>
      <c r="H32" s="82">
        <v>3</v>
      </c>
      <c r="I32" s="82">
        <v>3</v>
      </c>
      <c r="J32" s="82">
        <v>3</v>
      </c>
      <c r="K32" s="82">
        <v>3</v>
      </c>
      <c r="L32" s="82">
        <v>3</v>
      </c>
      <c r="M32" s="82">
        <v>3</v>
      </c>
      <c r="N32" s="82">
        <v>3</v>
      </c>
      <c r="O32" s="82">
        <v>3</v>
      </c>
      <c r="P32" s="82">
        <v>3</v>
      </c>
      <c r="Q32" s="82">
        <v>3</v>
      </c>
      <c r="R32" s="82">
        <v>3</v>
      </c>
      <c r="S32" s="82">
        <v>3</v>
      </c>
      <c r="T32" s="16">
        <f>'Proforma P&amp;L'!E36</f>
        <v>3</v>
      </c>
      <c r="U32" s="16">
        <f>'Proforma P&amp;L'!F36</f>
        <v>2.85</v>
      </c>
      <c r="V32" s="16">
        <f>'Proforma P&amp;L'!G36</f>
        <v>2.7253125000000002</v>
      </c>
      <c r="W32" s="16">
        <f>'Proforma P&amp;L'!H36</f>
        <v>2.4569105113636365</v>
      </c>
      <c r="X32" s="16">
        <f>'Proforma P&amp;L'!I36</f>
        <v>2.1497966974431817</v>
      </c>
      <c r="Y32" s="16">
        <f>'Proforma P&amp;L'!J36</f>
        <v>2.2035416148792613</v>
      </c>
      <c r="Z32" s="16">
        <f>'Proforma P&amp;L'!K36</f>
        <v>2.6107177828460815</v>
      </c>
      <c r="AA32" s="16">
        <f>'Proforma P&amp;L'!L36</f>
        <v>3.0839103809869339</v>
      </c>
      <c r="AB32" s="16">
        <f>'Proforma P&amp;L'!M36</f>
        <v>3.2919519543074811</v>
      </c>
      <c r="AC32" s="16">
        <f>'Proforma P&amp;L'!N36</f>
        <v>3.4509382702825584</v>
      </c>
      <c r="AD32" s="16">
        <f>'Proforma P&amp;L'!O36</f>
        <v>3.5846621282560074</v>
      </c>
      <c r="AE32" s="16">
        <f>'Proforma P&amp;L'!P36</f>
        <v>3.5419875791101028</v>
      </c>
    </row>
    <row r="33" spans="1:31" hidden="1">
      <c r="C33" s="63"/>
      <c r="D33" s="65"/>
      <c r="E33" s="82"/>
      <c r="F33" s="82"/>
      <c r="G33" s="82"/>
      <c r="H33" s="82"/>
      <c r="I33" s="82"/>
      <c r="J33" s="82"/>
      <c r="K33" s="82"/>
      <c r="L33" s="82"/>
      <c r="M33" s="82"/>
      <c r="N33" s="82"/>
      <c r="O33" s="82"/>
      <c r="P33" s="82"/>
      <c r="Q33" s="82"/>
      <c r="R33" s="82"/>
      <c r="S33" s="82"/>
      <c r="T33" s="6"/>
      <c r="U33" s="6"/>
      <c r="V33" s="6"/>
      <c r="W33" s="6"/>
      <c r="X33" s="6"/>
      <c r="Y33" s="6"/>
      <c r="Z33" s="6"/>
      <c r="AA33" s="6"/>
      <c r="AB33" s="6"/>
      <c r="AC33" s="6"/>
      <c r="AD33" s="6"/>
      <c r="AE33" s="6"/>
    </row>
    <row r="34" spans="1:31" hidden="1">
      <c r="A34" s="1" t="s">
        <v>4</v>
      </c>
      <c r="C34" s="63"/>
      <c r="D34" s="65"/>
      <c r="E34" s="82"/>
      <c r="F34" s="82"/>
      <c r="G34" s="82"/>
      <c r="H34" s="82"/>
      <c r="I34" s="82"/>
      <c r="J34" s="82"/>
      <c r="K34" s="82"/>
      <c r="L34" s="82"/>
      <c r="M34" s="82"/>
      <c r="N34" s="82"/>
      <c r="O34" s="82"/>
      <c r="P34" s="82"/>
      <c r="Q34" s="82"/>
      <c r="R34" s="82"/>
      <c r="S34" s="82"/>
      <c r="T34" s="6"/>
      <c r="U34" s="6"/>
      <c r="V34" s="6"/>
      <c r="W34" s="6"/>
      <c r="X34" s="6"/>
      <c r="Y34" s="6"/>
      <c r="Z34" s="6"/>
      <c r="AA34" s="6"/>
      <c r="AB34" s="6"/>
      <c r="AC34" s="6"/>
      <c r="AD34" s="6"/>
      <c r="AE34" s="6"/>
    </row>
    <row r="35" spans="1:31" s="1" customFormat="1">
      <c r="A35" s="1" t="s">
        <v>20</v>
      </c>
      <c r="B35" s="1" t="s">
        <v>38</v>
      </c>
      <c r="C35" s="62" t="s">
        <v>37</v>
      </c>
      <c r="D35" s="64"/>
      <c r="E35" s="82">
        <v>1</v>
      </c>
      <c r="F35" s="82">
        <v>1</v>
      </c>
      <c r="G35" s="82">
        <v>1</v>
      </c>
      <c r="H35" s="82">
        <v>1</v>
      </c>
      <c r="I35" s="82">
        <v>1</v>
      </c>
      <c r="J35" s="82">
        <v>1</v>
      </c>
      <c r="K35" s="82">
        <v>1</v>
      </c>
      <c r="L35" s="82">
        <v>1</v>
      </c>
      <c r="M35" s="82">
        <v>1</v>
      </c>
      <c r="N35" s="82">
        <v>1</v>
      </c>
      <c r="O35" s="82">
        <v>1</v>
      </c>
      <c r="P35" s="82">
        <v>1</v>
      </c>
      <c r="Q35" s="82">
        <v>1</v>
      </c>
      <c r="R35" s="82">
        <v>1</v>
      </c>
      <c r="S35" s="82">
        <v>1</v>
      </c>
      <c r="T35" s="16">
        <f>'Proforma P&amp;L'!E39</f>
        <v>1</v>
      </c>
      <c r="U35" s="16">
        <f>'Proforma P&amp;L'!F39</f>
        <v>0.95</v>
      </c>
      <c r="V35" s="16">
        <f>'Proforma P&amp;L'!G39</f>
        <v>0.9084374999999999</v>
      </c>
      <c r="W35" s="16">
        <f>'Proforma P&amp;L'!H39</f>
        <v>0.81897017045454534</v>
      </c>
      <c r="X35" s="16">
        <f>'Proforma P&amp;L'!I39</f>
        <v>0.71659889914772712</v>
      </c>
      <c r="Y35" s="16">
        <f>'Proforma P&amp;L'!J39</f>
        <v>0.73451387162642023</v>
      </c>
      <c r="Z35" s="16">
        <f>'Proforma P&amp;L'!K39</f>
        <v>0.87023926094869353</v>
      </c>
      <c r="AA35" s="16">
        <f>'Proforma P&amp;L'!L39</f>
        <v>1.0279701269956443</v>
      </c>
      <c r="AB35" s="16">
        <f>'Proforma P&amp;L'!M39</f>
        <v>1.0973173181024933</v>
      </c>
      <c r="AC35" s="16">
        <f>'Proforma P&amp;L'!N39</f>
        <v>1.1503127567608524</v>
      </c>
      <c r="AD35" s="16">
        <f>'Proforma P&amp;L'!O39</f>
        <v>1.1948873760853354</v>
      </c>
      <c r="AE35" s="16">
        <f>'Proforma P&amp;L'!P39</f>
        <v>1.1806625263700339</v>
      </c>
    </row>
    <row r="36" spans="1:31" hidden="1">
      <c r="C36" s="63"/>
      <c r="D36" s="65"/>
      <c r="E36" s="82"/>
      <c r="F36" s="82"/>
      <c r="G36" s="82"/>
      <c r="H36" s="82"/>
      <c r="I36" s="82"/>
      <c r="J36" s="82"/>
      <c r="K36" s="82"/>
      <c r="L36" s="82"/>
      <c r="M36" s="82"/>
      <c r="N36" s="82"/>
      <c r="O36" s="82"/>
      <c r="P36" s="82"/>
      <c r="Q36" s="82"/>
      <c r="R36" s="82"/>
      <c r="S36" s="82"/>
      <c r="T36" s="6"/>
      <c r="U36" s="6"/>
      <c r="V36" s="6"/>
      <c r="W36" s="6"/>
      <c r="X36" s="6"/>
      <c r="Y36" s="6"/>
      <c r="Z36" s="6"/>
      <c r="AA36" s="6"/>
      <c r="AB36" s="6"/>
      <c r="AC36" s="6"/>
      <c r="AD36" s="6"/>
      <c r="AE36" s="6"/>
    </row>
    <row r="37" spans="1:31" hidden="1">
      <c r="A37" s="1" t="s">
        <v>64</v>
      </c>
      <c r="C37" s="63"/>
      <c r="D37" s="65"/>
      <c r="E37" s="82"/>
      <c r="F37" s="82"/>
      <c r="G37" s="82"/>
      <c r="H37" s="82"/>
      <c r="I37" s="82"/>
      <c r="J37" s="82"/>
      <c r="K37" s="82"/>
      <c r="L37" s="82"/>
      <c r="M37" s="82"/>
      <c r="N37" s="82"/>
      <c r="O37" s="82"/>
      <c r="P37" s="82"/>
      <c r="Q37" s="82"/>
      <c r="R37" s="82"/>
      <c r="S37" s="82"/>
      <c r="T37" s="6"/>
      <c r="U37" s="6"/>
      <c r="V37" s="6"/>
      <c r="W37" s="6"/>
      <c r="X37" s="6"/>
      <c r="Y37" s="6"/>
      <c r="Z37" s="6"/>
      <c r="AA37" s="6"/>
      <c r="AB37" s="6"/>
      <c r="AC37" s="6"/>
      <c r="AD37" s="6"/>
      <c r="AE37" s="6"/>
    </row>
    <row r="38" spans="1:31" s="1" customFormat="1">
      <c r="A38" s="1" t="s">
        <v>21</v>
      </c>
      <c r="B38" s="1" t="s">
        <v>38</v>
      </c>
      <c r="C38" s="62" t="s">
        <v>37</v>
      </c>
      <c r="D38" s="64"/>
      <c r="E38" s="82">
        <v>2</v>
      </c>
      <c r="F38" s="82">
        <v>2</v>
      </c>
      <c r="G38" s="82">
        <v>2</v>
      </c>
      <c r="H38" s="82">
        <v>2</v>
      </c>
      <c r="I38" s="82">
        <v>2</v>
      </c>
      <c r="J38" s="82">
        <v>2</v>
      </c>
      <c r="K38" s="82">
        <v>2</v>
      </c>
      <c r="L38" s="82">
        <v>2</v>
      </c>
      <c r="M38" s="82">
        <v>2</v>
      </c>
      <c r="N38" s="82">
        <v>2</v>
      </c>
      <c r="O38" s="82">
        <v>2</v>
      </c>
      <c r="P38" s="82">
        <v>2</v>
      </c>
      <c r="Q38" s="82">
        <v>2</v>
      </c>
      <c r="R38" s="82">
        <v>2</v>
      </c>
      <c r="S38" s="82">
        <v>2</v>
      </c>
      <c r="T38" s="16">
        <f>'Proforma P&amp;L'!E42</f>
        <v>2</v>
      </c>
      <c r="U38" s="16">
        <f>'Proforma P&amp;L'!F42</f>
        <v>1.9</v>
      </c>
      <c r="V38" s="16">
        <f>'Proforma P&amp;L'!G42</f>
        <v>1.8168749999999998</v>
      </c>
      <c r="W38" s="16">
        <f>'Proforma P&amp;L'!H42</f>
        <v>1.6379403409090907</v>
      </c>
      <c r="X38" s="16">
        <f>'Proforma P&amp;L'!I42</f>
        <v>1.4331977982954542</v>
      </c>
      <c r="Y38" s="16">
        <f>'Proforma P&amp;L'!J42</f>
        <v>1.4690277432528405</v>
      </c>
      <c r="Z38" s="16">
        <f>'Proforma P&amp;L'!K42</f>
        <v>1.7404785218973871</v>
      </c>
      <c r="AA38" s="16">
        <f>'Proforma P&amp;L'!L42</f>
        <v>2.0559402539912885</v>
      </c>
      <c r="AB38" s="16">
        <f>'Proforma P&amp;L'!M42</f>
        <v>2.1946346362049867</v>
      </c>
      <c r="AC38" s="16">
        <f>'Proforma P&amp;L'!N42</f>
        <v>2.3006255135217049</v>
      </c>
      <c r="AD38" s="16">
        <f>'Proforma P&amp;L'!O42</f>
        <v>2.3897747521706707</v>
      </c>
      <c r="AE38" s="16">
        <f>'Proforma P&amp;L'!P42</f>
        <v>2.3613250527400678</v>
      </c>
    </row>
    <row r="39" spans="1:31" hidden="1">
      <c r="C39" s="63"/>
      <c r="D39" s="65"/>
      <c r="E39" s="82"/>
      <c r="F39" s="82"/>
      <c r="G39" s="82"/>
      <c r="H39" s="82"/>
      <c r="I39" s="82"/>
      <c r="J39" s="82"/>
      <c r="K39" s="82"/>
      <c r="L39" s="82"/>
      <c r="M39" s="82"/>
      <c r="N39" s="82"/>
      <c r="O39" s="82"/>
      <c r="P39" s="82"/>
      <c r="Q39" s="82"/>
      <c r="R39" s="82"/>
      <c r="S39" s="82"/>
      <c r="T39" s="6"/>
      <c r="U39" s="6"/>
      <c r="V39" s="6"/>
      <c r="W39" s="6"/>
      <c r="X39" s="6"/>
      <c r="Y39" s="6"/>
      <c r="Z39" s="6"/>
      <c r="AA39" s="6"/>
      <c r="AB39" s="6"/>
      <c r="AC39" s="6"/>
      <c r="AD39" s="6"/>
      <c r="AE39" s="6"/>
    </row>
    <row r="40" spans="1:31" hidden="1">
      <c r="A40" s="1" t="s">
        <v>0</v>
      </c>
      <c r="C40" s="63"/>
      <c r="D40" s="65"/>
      <c r="E40" s="82"/>
      <c r="F40" s="82"/>
      <c r="G40" s="82"/>
      <c r="H40" s="82"/>
      <c r="I40" s="82"/>
      <c r="J40" s="82"/>
      <c r="K40" s="82"/>
      <c r="L40" s="82"/>
      <c r="M40" s="82"/>
      <c r="N40" s="82"/>
      <c r="O40" s="82"/>
      <c r="P40" s="82"/>
      <c r="Q40" s="82"/>
      <c r="R40" s="82"/>
      <c r="S40" s="82"/>
      <c r="T40" s="6"/>
      <c r="U40" s="6"/>
      <c r="V40" s="6"/>
      <c r="W40" s="6"/>
      <c r="X40" s="6"/>
      <c r="Y40" s="6"/>
      <c r="Z40" s="6"/>
      <c r="AA40" s="6"/>
      <c r="AB40" s="6"/>
      <c r="AC40" s="6"/>
      <c r="AD40" s="6"/>
      <c r="AE40" s="6"/>
    </row>
    <row r="41" spans="1:31" s="1" customFormat="1">
      <c r="A41" s="1" t="s">
        <v>23</v>
      </c>
      <c r="B41" s="1" t="s">
        <v>38</v>
      </c>
      <c r="C41" s="62" t="s">
        <v>37</v>
      </c>
      <c r="D41" s="64"/>
      <c r="E41" s="82">
        <v>3</v>
      </c>
      <c r="F41" s="82">
        <v>3</v>
      </c>
      <c r="G41" s="82">
        <v>3</v>
      </c>
      <c r="H41" s="82">
        <v>3</v>
      </c>
      <c r="I41" s="82">
        <v>3</v>
      </c>
      <c r="J41" s="82">
        <v>3</v>
      </c>
      <c r="K41" s="82">
        <v>3</v>
      </c>
      <c r="L41" s="82">
        <v>3</v>
      </c>
      <c r="M41" s="82">
        <v>3</v>
      </c>
      <c r="N41" s="82">
        <v>3</v>
      </c>
      <c r="O41" s="82">
        <v>3</v>
      </c>
      <c r="P41" s="82">
        <v>3</v>
      </c>
      <c r="Q41" s="82">
        <v>3</v>
      </c>
      <c r="R41" s="82">
        <v>3</v>
      </c>
      <c r="S41" s="82">
        <v>3</v>
      </c>
      <c r="T41" s="16">
        <f>'Proforma P&amp;L'!E45</f>
        <v>3</v>
      </c>
      <c r="U41" s="16">
        <f>'Proforma P&amp;L'!F45</f>
        <v>2.85</v>
      </c>
      <c r="V41" s="16">
        <f>'Proforma P&amp;L'!G45</f>
        <v>2.7253125000000002</v>
      </c>
      <c r="W41" s="16">
        <f>'Proforma P&amp;L'!H45</f>
        <v>2.4569105113636365</v>
      </c>
      <c r="X41" s="16">
        <f>'Proforma P&amp;L'!I45</f>
        <v>2.1497966974431817</v>
      </c>
      <c r="Y41" s="16">
        <f>'Proforma P&amp;L'!J45</f>
        <v>2.2035416148792613</v>
      </c>
      <c r="Z41" s="16">
        <f>'Proforma P&amp;L'!K45</f>
        <v>2.6107177828460815</v>
      </c>
      <c r="AA41" s="16">
        <f>'Proforma P&amp;L'!L45</f>
        <v>3.0839103809869339</v>
      </c>
      <c r="AB41" s="16">
        <f>'Proforma P&amp;L'!M45</f>
        <v>3.2919519543074811</v>
      </c>
      <c r="AC41" s="16">
        <f>'Proforma P&amp;L'!N45</f>
        <v>3.4509382702825584</v>
      </c>
      <c r="AD41" s="16">
        <f>'Proforma P&amp;L'!O45</f>
        <v>3.5846621282560074</v>
      </c>
      <c r="AE41" s="16">
        <f>'Proforma P&amp;L'!P45</f>
        <v>3.5419875791101028</v>
      </c>
    </row>
    <row r="42" spans="1:31">
      <c r="A42" t="s">
        <v>14</v>
      </c>
      <c r="C42" s="9"/>
      <c r="D42" s="12"/>
      <c r="E42" s="6"/>
      <c r="F42" s="6"/>
      <c r="G42" s="6"/>
      <c r="H42" s="6"/>
      <c r="I42" s="6"/>
      <c r="J42" s="6"/>
      <c r="K42" s="6"/>
      <c r="L42" s="6"/>
      <c r="M42" s="6"/>
      <c r="N42" s="6"/>
      <c r="O42" s="6"/>
      <c r="P42" s="6"/>
      <c r="Q42" s="6"/>
      <c r="R42" s="6"/>
      <c r="S42" s="6"/>
    </row>
    <row r="43" spans="1:31" s="1" customFormat="1">
      <c r="A43" s="1" t="s">
        <v>24</v>
      </c>
      <c r="B43" s="1" t="s">
        <v>38</v>
      </c>
      <c r="C43" s="8"/>
      <c r="D43" s="18"/>
      <c r="E43" s="81">
        <f t="shared" ref="E43:P43" si="10">E26+E29+E32+E35+E38+E41</f>
        <v>18</v>
      </c>
      <c r="F43" s="81">
        <f t="shared" si="10"/>
        <v>18</v>
      </c>
      <c r="G43" s="81">
        <f t="shared" si="10"/>
        <v>18</v>
      </c>
      <c r="H43" s="81">
        <f t="shared" si="10"/>
        <v>18</v>
      </c>
      <c r="I43" s="81">
        <f t="shared" si="10"/>
        <v>18</v>
      </c>
      <c r="J43" s="81">
        <f t="shared" si="10"/>
        <v>18</v>
      </c>
      <c r="K43" s="81">
        <f t="shared" si="10"/>
        <v>18</v>
      </c>
      <c r="L43" s="81">
        <f t="shared" si="10"/>
        <v>18</v>
      </c>
      <c r="M43" s="81">
        <f t="shared" si="10"/>
        <v>18</v>
      </c>
      <c r="N43" s="81">
        <f t="shared" si="10"/>
        <v>18</v>
      </c>
      <c r="O43" s="81">
        <f t="shared" si="10"/>
        <v>18</v>
      </c>
      <c r="P43" s="81">
        <f t="shared" si="10"/>
        <v>18</v>
      </c>
      <c r="Q43" s="81">
        <f>Q26+Q29+Q32+Q35+Q38+Q41</f>
        <v>18</v>
      </c>
      <c r="R43" s="81">
        <f>R26+R29+R32+R35+R38+R41</f>
        <v>18</v>
      </c>
      <c r="S43" s="81">
        <f>S26+S29+S32+S35+S38+S41</f>
        <v>18</v>
      </c>
      <c r="T43" s="16">
        <f t="shared" ref="T43:AE43" si="11">T26+T29+T32+T35+T38+T41</f>
        <v>18</v>
      </c>
      <c r="U43" s="16">
        <f t="shared" si="11"/>
        <v>16.25</v>
      </c>
      <c r="V43" s="16">
        <f t="shared" si="11"/>
        <v>14.9221875</v>
      </c>
      <c r="W43" s="16">
        <f t="shared" si="11"/>
        <v>12.268174715909092</v>
      </c>
      <c r="X43" s="16">
        <f t="shared" si="11"/>
        <v>9.7224724786931809</v>
      </c>
      <c r="Y43" s="16">
        <f t="shared" si="11"/>
        <v>10.0873613503196</v>
      </c>
      <c r="Z43" s="16">
        <f t="shared" si="11"/>
        <v>12.918988128058995</v>
      </c>
      <c r="AA43" s="16">
        <f t="shared" si="11"/>
        <v>16.737326138753474</v>
      </c>
      <c r="AB43" s="16">
        <f t="shared" si="11"/>
        <v>18.727602564496667</v>
      </c>
      <c r="AC43" s="16">
        <f t="shared" si="11"/>
        <v>20.383369297178938</v>
      </c>
      <c r="AD43" s="16">
        <f t="shared" si="11"/>
        <v>21.871908843789953</v>
      </c>
      <c r="AE43" s="16">
        <f t="shared" si="11"/>
        <v>21.369172756851722</v>
      </c>
    </row>
    <row r="44" spans="1:31">
      <c r="C44" s="9"/>
      <c r="D44" s="12"/>
      <c r="E44" s="6"/>
      <c r="F44" s="6"/>
      <c r="G44" s="6"/>
      <c r="H44" s="6"/>
      <c r="I44" s="6"/>
      <c r="J44" s="6"/>
      <c r="K44" s="6"/>
      <c r="L44" s="6"/>
      <c r="M44" s="6"/>
      <c r="N44" s="6"/>
      <c r="O44" s="6"/>
      <c r="P44" s="6"/>
      <c r="Q44" s="6"/>
      <c r="R44" s="6"/>
      <c r="S44" s="6"/>
    </row>
    <row r="45" spans="1:31" hidden="1">
      <c r="A45" s="1" t="s">
        <v>32</v>
      </c>
      <c r="C45" s="9"/>
      <c r="D45" s="12"/>
      <c r="E45" s="6"/>
      <c r="F45" s="6"/>
      <c r="G45" s="6"/>
      <c r="H45" s="6"/>
      <c r="I45" s="6"/>
      <c r="J45" s="6"/>
      <c r="K45" s="6"/>
      <c r="L45" s="6"/>
      <c r="M45" s="6"/>
      <c r="N45" s="6"/>
      <c r="O45" s="6"/>
      <c r="P45" s="6"/>
      <c r="Q45" s="6"/>
      <c r="R45" s="6"/>
      <c r="S45" s="6"/>
    </row>
    <row r="46" spans="1:31" s="1" customFormat="1">
      <c r="A46" s="1" t="s">
        <v>39</v>
      </c>
      <c r="B46" s="1" t="s">
        <v>38</v>
      </c>
      <c r="C46" s="62" t="s">
        <v>33</v>
      </c>
      <c r="D46" s="66"/>
      <c r="E46" s="77">
        <v>-1</v>
      </c>
      <c r="F46" s="77">
        <v>-1</v>
      </c>
      <c r="G46" s="77">
        <v>-1</v>
      </c>
      <c r="H46" s="77">
        <v>-1</v>
      </c>
      <c r="I46" s="77">
        <v>-1</v>
      </c>
      <c r="J46" s="77">
        <v>-1</v>
      </c>
      <c r="K46" s="77">
        <v>-1</v>
      </c>
      <c r="L46" s="77">
        <v>-1</v>
      </c>
      <c r="M46" s="77">
        <v>-1</v>
      </c>
      <c r="N46" s="77">
        <v>-1</v>
      </c>
      <c r="O46" s="77">
        <v>-1</v>
      </c>
      <c r="P46" s="77">
        <v>-1</v>
      </c>
      <c r="Q46" s="77">
        <v>-1</v>
      </c>
      <c r="R46" s="77">
        <v>-1</v>
      </c>
      <c r="S46" s="77">
        <v>-1</v>
      </c>
      <c r="T46" s="16">
        <f>'Proforma P&amp;L'!E50</f>
        <v>-1</v>
      </c>
      <c r="U46" s="16">
        <f>'Proforma P&amp;L'!F50</f>
        <v>-1</v>
      </c>
      <c r="V46" s="16">
        <f>'Proforma P&amp;L'!G50</f>
        <v>-1</v>
      </c>
      <c r="W46" s="16">
        <f>'Proforma P&amp;L'!H50</f>
        <v>-1</v>
      </c>
      <c r="X46" s="16">
        <f>'Proforma P&amp;L'!I50</f>
        <v>-1</v>
      </c>
      <c r="Y46" s="16">
        <f>'Proforma P&amp;L'!J50</f>
        <v>-1</v>
      </c>
      <c r="Z46" s="16">
        <f>'Proforma P&amp;L'!K50</f>
        <v>-1</v>
      </c>
      <c r="AA46" s="16">
        <f>'Proforma P&amp;L'!L50</f>
        <v>-1</v>
      </c>
      <c r="AB46" s="16">
        <f>'Proforma P&amp;L'!M50</f>
        <v>-1</v>
      </c>
      <c r="AC46" s="16">
        <f>'Proforma P&amp;L'!N50</f>
        <v>-1</v>
      </c>
      <c r="AD46" s="16">
        <f>'Proforma P&amp;L'!O50</f>
        <v>-1</v>
      </c>
      <c r="AE46" s="16">
        <f>'Proforma P&amp;L'!P50</f>
        <v>-1</v>
      </c>
    </row>
    <row r="47" spans="1:31">
      <c r="C47" s="9"/>
      <c r="D47" s="12"/>
      <c r="E47" s="6"/>
      <c r="F47" s="6"/>
      <c r="G47" s="6"/>
      <c r="H47" s="6"/>
      <c r="I47" s="6"/>
      <c r="J47" s="6"/>
      <c r="K47" s="6"/>
      <c r="L47" s="6"/>
      <c r="M47" s="6"/>
      <c r="N47" s="6"/>
      <c r="O47" s="6"/>
      <c r="P47" s="6"/>
      <c r="Q47" s="6"/>
      <c r="R47" s="6"/>
      <c r="S47" s="6"/>
    </row>
    <row r="48" spans="1:31" s="1" customFormat="1" ht="15" thickBot="1">
      <c r="A48" s="1" t="s">
        <v>60</v>
      </c>
      <c r="B48" s="1" t="s">
        <v>38</v>
      </c>
      <c r="C48" s="8"/>
      <c r="D48" s="19"/>
      <c r="E48" s="81">
        <f>E21-E43+E46</f>
        <v>3</v>
      </c>
      <c r="F48" s="81">
        <f t="shared" ref="F48:AE48" si="12">F21-F43+F46</f>
        <v>3</v>
      </c>
      <c r="G48" s="81">
        <f t="shared" si="12"/>
        <v>3</v>
      </c>
      <c r="H48" s="81">
        <f t="shared" si="12"/>
        <v>3</v>
      </c>
      <c r="I48" s="81">
        <f t="shared" si="12"/>
        <v>3</v>
      </c>
      <c r="J48" s="81">
        <f t="shared" si="12"/>
        <v>3</v>
      </c>
      <c r="K48" s="81">
        <f t="shared" si="12"/>
        <v>3</v>
      </c>
      <c r="L48" s="81">
        <f t="shared" si="12"/>
        <v>3</v>
      </c>
      <c r="M48" s="81">
        <f t="shared" si="12"/>
        <v>3</v>
      </c>
      <c r="N48" s="81">
        <f t="shared" si="12"/>
        <v>3</v>
      </c>
      <c r="O48" s="81">
        <f t="shared" si="12"/>
        <v>3</v>
      </c>
      <c r="P48" s="81">
        <f t="shared" si="12"/>
        <v>3</v>
      </c>
      <c r="Q48" s="81">
        <f t="shared" si="12"/>
        <v>3</v>
      </c>
      <c r="R48" s="81">
        <f t="shared" si="12"/>
        <v>3</v>
      </c>
      <c r="S48" s="81">
        <f t="shared" si="12"/>
        <v>3</v>
      </c>
      <c r="T48" s="16">
        <f t="shared" si="12"/>
        <v>3</v>
      </c>
      <c r="U48" s="16">
        <f t="shared" si="12"/>
        <v>-1.25</v>
      </c>
      <c r="V48" s="16">
        <f t="shared" si="12"/>
        <v>-1.4021875000000108</v>
      </c>
      <c r="W48" s="16">
        <f t="shared" si="12"/>
        <v>-4.4681747159090879</v>
      </c>
      <c r="X48" s="16">
        <f t="shared" si="12"/>
        <v>-6.5224724786931834</v>
      </c>
      <c r="Y48" s="16">
        <f t="shared" si="12"/>
        <v>-6.4673613503195995</v>
      </c>
      <c r="Z48" s="16">
        <f t="shared" si="12"/>
        <v>-5.5015968237111714</v>
      </c>
      <c r="AA48" s="16">
        <f t="shared" si="12"/>
        <v>-4.5373261387534711</v>
      </c>
      <c r="AB48" s="16">
        <f t="shared" si="12"/>
        <v>-1.2895073264014236</v>
      </c>
      <c r="AC48" s="16">
        <f t="shared" si="12"/>
        <v>-1.3833692971789517</v>
      </c>
      <c r="AD48" s="16">
        <f t="shared" si="12"/>
        <v>0.22809115621004139</v>
      </c>
      <c r="AE48" s="16">
        <f t="shared" si="12"/>
        <v>2.9308272431482898</v>
      </c>
    </row>
    <row r="49" spans="1:31" s="1" customFormat="1" ht="15" thickBot="1">
      <c r="A49" s="1" t="s">
        <v>80</v>
      </c>
      <c r="B49" s="1" t="s">
        <v>38</v>
      </c>
      <c r="C49" s="8"/>
      <c r="D49" s="19"/>
      <c r="E49" s="17">
        <f t="shared" ref="E49:AE49" si="13">E48/E10</f>
        <v>0.03</v>
      </c>
      <c r="F49" s="17">
        <f t="shared" si="13"/>
        <v>0.03</v>
      </c>
      <c r="G49" s="17">
        <f t="shared" si="13"/>
        <v>0.03</v>
      </c>
      <c r="H49" s="17">
        <f t="shared" si="13"/>
        <v>0.03</v>
      </c>
      <c r="I49" s="17">
        <f t="shared" si="13"/>
        <v>0.03</v>
      </c>
      <c r="J49" s="17">
        <f t="shared" si="13"/>
        <v>0.03</v>
      </c>
      <c r="K49" s="17">
        <f t="shared" si="13"/>
        <v>0.03</v>
      </c>
      <c r="L49" s="17">
        <f t="shared" si="13"/>
        <v>0.03</v>
      </c>
      <c r="M49" s="17">
        <f t="shared" si="13"/>
        <v>0.03</v>
      </c>
      <c r="N49" s="17">
        <f t="shared" si="13"/>
        <v>0.03</v>
      </c>
      <c r="O49" s="17">
        <f t="shared" si="13"/>
        <v>0.03</v>
      </c>
      <c r="P49" s="17">
        <f t="shared" si="13"/>
        <v>0.03</v>
      </c>
      <c r="Q49" s="17">
        <f t="shared" si="13"/>
        <v>0.03</v>
      </c>
      <c r="R49" s="17">
        <f t="shared" si="13"/>
        <v>0.03</v>
      </c>
      <c r="S49" s="17">
        <f t="shared" si="13"/>
        <v>0.03</v>
      </c>
      <c r="T49" s="17">
        <f t="shared" si="13"/>
        <v>2.9999999999999995E-2</v>
      </c>
      <c r="U49" s="17">
        <f t="shared" si="13"/>
        <v>-1.7187499999999998E-2</v>
      </c>
      <c r="V49" s="17">
        <f t="shared" si="13"/>
        <v>-2.1245265151515313E-2</v>
      </c>
      <c r="W49" s="17">
        <f t="shared" si="13"/>
        <v>-0.11170436789772718</v>
      </c>
      <c r="X49" s="17">
        <f t="shared" si="13"/>
        <v>-0.34165332031250001</v>
      </c>
      <c r="Y49" s="17">
        <f t="shared" si="13"/>
        <v>-0.3079695881104571</v>
      </c>
      <c r="Z49" s="17">
        <f t="shared" si="13"/>
        <v>-0.14379173516517835</v>
      </c>
      <c r="AA49" s="17">
        <f t="shared" si="13"/>
        <v>-7.5622102312557851E-2</v>
      </c>
      <c r="AB49" s="17">
        <f t="shared" si="13"/>
        <v>-1.5386166962744259E-2</v>
      </c>
      <c r="AC49" s="17">
        <f t="shared" si="13"/>
        <v>-1.5217062268968467E-2</v>
      </c>
      <c r="AD49" s="17">
        <f t="shared" si="13"/>
        <v>2.172296725809918E-3</v>
      </c>
      <c r="AE49" s="17">
        <f t="shared" si="13"/>
        <v>2.5485454288245991E-2</v>
      </c>
    </row>
    <row r="50" spans="1:31">
      <c r="E50" s="6"/>
      <c r="F50" s="6"/>
      <c r="G50" s="6"/>
      <c r="H50" s="6"/>
      <c r="I50" s="6"/>
      <c r="J50" s="6"/>
      <c r="K50" s="6"/>
      <c r="L50" s="6"/>
      <c r="M50" s="6"/>
      <c r="N50" s="6"/>
      <c r="O50" s="6"/>
      <c r="P50" s="6"/>
    </row>
    <row r="51" spans="1:31">
      <c r="E51" s="6"/>
      <c r="F51" s="6"/>
      <c r="G51" s="6"/>
      <c r="H51" s="6"/>
      <c r="I51" s="6"/>
      <c r="J51" s="6"/>
      <c r="K51" s="6"/>
      <c r="L51" s="6"/>
      <c r="M51" s="6"/>
      <c r="N51" s="6"/>
      <c r="O51" s="6"/>
      <c r="P51" s="6"/>
    </row>
    <row r="52" spans="1:31" ht="15.6">
      <c r="A52" s="76" t="s">
        <v>135</v>
      </c>
      <c r="E52" s="6"/>
      <c r="F52" s="6"/>
      <c r="G52" s="6"/>
      <c r="H52" s="6"/>
      <c r="I52" s="6"/>
      <c r="J52" s="6"/>
      <c r="K52" s="6"/>
      <c r="L52" s="6"/>
      <c r="M52" s="6"/>
      <c r="N52" s="6"/>
      <c r="O52" s="6"/>
      <c r="P52" s="6"/>
    </row>
    <row r="53" spans="1:31" ht="15.6">
      <c r="A53" s="76" t="s">
        <v>136</v>
      </c>
      <c r="E53" s="6"/>
      <c r="F53" s="6"/>
      <c r="G53" s="6"/>
      <c r="H53" s="6"/>
      <c r="I53" s="6"/>
      <c r="J53" s="6"/>
      <c r="K53" s="6"/>
      <c r="L53" s="6"/>
      <c r="M53" s="6"/>
      <c r="N53" s="6"/>
      <c r="O53" s="6"/>
      <c r="P53" s="6"/>
    </row>
    <row r="54" spans="1:31" ht="15.6">
      <c r="A54" s="76" t="s">
        <v>137</v>
      </c>
      <c r="E54" s="6"/>
      <c r="F54" s="6"/>
      <c r="G54" s="6"/>
      <c r="H54" s="6"/>
      <c r="I54" s="6"/>
      <c r="J54" s="6"/>
      <c r="K54" s="6"/>
      <c r="L54" s="6"/>
      <c r="M54" s="6"/>
      <c r="N54" s="6"/>
      <c r="O54" s="6"/>
      <c r="P54" s="6"/>
    </row>
    <row r="55" spans="1:31">
      <c r="E55" s="6"/>
      <c r="F55" s="6"/>
      <c r="G55" s="6"/>
      <c r="H55" s="6"/>
      <c r="I55" s="6"/>
      <c r="J55" s="6"/>
      <c r="K55" s="6"/>
      <c r="L55" s="6"/>
      <c r="M55" s="6"/>
      <c r="N55" s="6"/>
      <c r="O55" s="6"/>
      <c r="P55" s="6"/>
    </row>
    <row r="56" spans="1:31">
      <c r="E56" s="6"/>
      <c r="F56" s="6"/>
      <c r="G56" s="6"/>
      <c r="H56" s="6"/>
      <c r="I56" s="6"/>
      <c r="J56" s="6"/>
      <c r="K56" s="6"/>
      <c r="L56" s="6"/>
      <c r="M56" s="6"/>
      <c r="N56" s="6"/>
      <c r="O56" s="6"/>
      <c r="P56" s="6"/>
    </row>
    <row r="57" spans="1:31">
      <c r="E57" s="6"/>
      <c r="F57" s="6"/>
      <c r="G57" s="6"/>
      <c r="H57" s="6"/>
      <c r="I57" s="6"/>
      <c r="J57" s="6"/>
      <c r="K57" s="6"/>
      <c r="L57" s="6"/>
      <c r="M57" s="6"/>
      <c r="N57" s="6"/>
      <c r="O57" s="6"/>
      <c r="P57" s="6"/>
    </row>
    <row r="58" spans="1:31">
      <c r="E58" s="6"/>
      <c r="F58" s="6"/>
      <c r="G58" s="6"/>
      <c r="H58" s="6"/>
      <c r="I58" s="6"/>
      <c r="J58" s="6"/>
      <c r="K58" s="6"/>
      <c r="L58" s="6"/>
      <c r="M58" s="6"/>
      <c r="N58" s="6"/>
      <c r="O58" s="6"/>
      <c r="P58" s="6"/>
    </row>
  </sheetData>
  <mergeCells count="3">
    <mergeCell ref="E4:P4"/>
    <mergeCell ref="Q4:S4"/>
    <mergeCell ref="A1:A4"/>
  </mergeCells>
  <phoneticPr fontId="8"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ErrorMessage="1" prompt="Fixed assumes that the expense is 100% fixed._x000a__x000a_Variable assumes that the expense is 100% variable._x000a__x000a_Semi-Variable assumes that the expense is XX% variable." xr:uid="{10C27555-D82A-4096-946F-AE6E3EE8A3F8}">
          <x14:formula1>
            <xm:f>'Cost Type Table'!$A$2:$A$6</xm:f>
          </x14:formula1>
          <xm:sqref>C46 C26 C29 C35 C38 C41 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E716-99DD-498E-9FC1-B4D37E198ED1}">
  <dimension ref="B1:I35"/>
  <sheetViews>
    <sheetView topLeftCell="B1" zoomScale="80" zoomScaleNormal="80" workbookViewId="0">
      <selection activeCell="F8" sqref="F8"/>
    </sheetView>
  </sheetViews>
  <sheetFormatPr defaultRowHeight="14.4"/>
  <cols>
    <col min="1" max="1" width="0" hidden="1" customWidth="1"/>
    <col min="2" max="2" width="98.33203125" bestFit="1" customWidth="1"/>
    <col min="3" max="3" width="11.5546875" customWidth="1"/>
    <col min="4" max="4" width="13.33203125" customWidth="1"/>
    <col min="5" max="5" width="13" customWidth="1"/>
    <col min="6" max="6" width="11.44140625" customWidth="1"/>
  </cols>
  <sheetData>
    <row r="1" spans="2:9" ht="15" customHeight="1">
      <c r="B1" s="111" t="s">
        <v>118</v>
      </c>
      <c r="C1" s="112"/>
      <c r="D1" s="112"/>
      <c r="E1" s="112"/>
      <c r="F1" s="113"/>
    </row>
    <row r="2" spans="2:9" ht="15" customHeight="1">
      <c r="B2" s="114"/>
      <c r="C2" s="115"/>
      <c r="D2" s="115"/>
      <c r="E2" s="115"/>
      <c r="F2" s="116"/>
    </row>
    <row r="3" spans="2:9" ht="15" customHeight="1">
      <c r="B3" s="54"/>
      <c r="C3" s="54"/>
      <c r="D3" s="54"/>
      <c r="E3" s="54"/>
      <c r="F3" s="54"/>
    </row>
    <row r="4" spans="2:9" ht="15" customHeight="1">
      <c r="B4" s="1" t="s">
        <v>129</v>
      </c>
      <c r="C4" s="117"/>
      <c r="D4" s="117"/>
      <c r="E4" s="54"/>
      <c r="F4" s="54"/>
    </row>
    <row r="5" spans="2:9" ht="15" customHeight="1">
      <c r="B5" s="1" t="s">
        <v>128</v>
      </c>
      <c r="C5" s="117"/>
      <c r="D5" s="117"/>
      <c r="E5" s="54"/>
      <c r="F5" s="54"/>
    </row>
    <row r="6" spans="2:9">
      <c r="I6" t="s">
        <v>14</v>
      </c>
    </row>
    <row r="7" spans="2:9" ht="28.8">
      <c r="B7" s="1" t="s">
        <v>65</v>
      </c>
      <c r="C7" s="14" t="s">
        <v>55</v>
      </c>
      <c r="D7" s="14" t="s">
        <v>56</v>
      </c>
      <c r="E7" s="72" t="s">
        <v>66</v>
      </c>
      <c r="F7" s="72" t="s">
        <v>67</v>
      </c>
    </row>
    <row r="8" spans="2:9">
      <c r="B8" t="s">
        <v>41</v>
      </c>
      <c r="C8" s="67"/>
      <c r="D8" s="61"/>
      <c r="E8" s="71">
        <f>IFERROR(D8*($C$5/$C$4),0)</f>
        <v>0</v>
      </c>
      <c r="F8" s="6">
        <f>D8+E8</f>
        <v>0</v>
      </c>
    </row>
    <row r="9" spans="2:9">
      <c r="B9" t="s">
        <v>42</v>
      </c>
      <c r="C9" s="67"/>
      <c r="D9" s="61"/>
      <c r="E9" s="71">
        <f t="shared" ref="E9:E25" si="0">IFERROR(D9*($C$5/$C$4),0)</f>
        <v>0</v>
      </c>
      <c r="F9" s="6">
        <f>D9+E9</f>
        <v>0</v>
      </c>
    </row>
    <row r="10" spans="2:9">
      <c r="B10" t="s">
        <v>15</v>
      </c>
      <c r="C10" s="67"/>
      <c r="D10" s="61"/>
      <c r="E10" s="71">
        <f t="shared" si="0"/>
        <v>0</v>
      </c>
      <c r="F10" s="6">
        <f>D10+E10</f>
        <v>0</v>
      </c>
    </row>
    <row r="11" spans="2:9">
      <c r="B11" t="s">
        <v>16</v>
      </c>
      <c r="C11" s="67"/>
      <c r="D11" s="61"/>
      <c r="E11" s="71">
        <f t="shared" si="0"/>
        <v>0</v>
      </c>
      <c r="F11" s="6">
        <f t="shared" ref="F11:F26" si="1">D11+E11</f>
        <v>0</v>
      </c>
    </row>
    <row r="12" spans="2:9">
      <c r="B12" t="s">
        <v>43</v>
      </c>
      <c r="C12" s="67"/>
      <c r="D12" s="61"/>
      <c r="E12" s="71">
        <f t="shared" si="0"/>
        <v>0</v>
      </c>
      <c r="F12" s="6">
        <f t="shared" si="1"/>
        <v>0</v>
      </c>
    </row>
    <row r="13" spans="2:9">
      <c r="B13" t="s">
        <v>44</v>
      </c>
      <c r="C13" s="67"/>
      <c r="D13" s="61"/>
      <c r="E13" s="71">
        <f t="shared" si="0"/>
        <v>0</v>
      </c>
      <c r="F13" s="6">
        <f t="shared" si="1"/>
        <v>0</v>
      </c>
    </row>
    <row r="14" spans="2:9">
      <c r="B14" t="s">
        <v>45</v>
      </c>
      <c r="C14" s="67"/>
      <c r="D14" s="61"/>
      <c r="E14" s="71">
        <f t="shared" si="0"/>
        <v>0</v>
      </c>
      <c r="F14" s="6">
        <f t="shared" si="1"/>
        <v>0</v>
      </c>
    </row>
    <row r="15" spans="2:9">
      <c r="B15" t="s">
        <v>5</v>
      </c>
      <c r="C15" s="67"/>
      <c r="D15" s="61"/>
      <c r="E15" s="71">
        <f t="shared" si="0"/>
        <v>0</v>
      </c>
      <c r="F15" s="6">
        <f t="shared" si="1"/>
        <v>0</v>
      </c>
    </row>
    <row r="16" spans="2:9">
      <c r="B16" t="s">
        <v>17</v>
      </c>
      <c r="C16" s="67"/>
      <c r="D16" s="61"/>
      <c r="E16" s="71">
        <f t="shared" si="0"/>
        <v>0</v>
      </c>
      <c r="F16" s="6">
        <f t="shared" si="1"/>
        <v>0</v>
      </c>
    </row>
    <row r="17" spans="2:6">
      <c r="B17" t="s">
        <v>46</v>
      </c>
      <c r="C17" s="67"/>
      <c r="D17" s="61"/>
      <c r="E17" s="71">
        <f t="shared" si="0"/>
        <v>0</v>
      </c>
      <c r="F17" s="6">
        <f t="shared" si="1"/>
        <v>0</v>
      </c>
    </row>
    <row r="18" spans="2:6">
      <c r="B18" t="s">
        <v>28</v>
      </c>
      <c r="C18" s="67"/>
      <c r="D18" s="61"/>
      <c r="E18" s="71">
        <f t="shared" si="0"/>
        <v>0</v>
      </c>
      <c r="F18" s="6">
        <f t="shared" si="1"/>
        <v>0</v>
      </c>
    </row>
    <row r="19" spans="2:6">
      <c r="B19" t="s">
        <v>29</v>
      </c>
      <c r="C19" s="67"/>
      <c r="D19" s="61"/>
      <c r="E19" s="71">
        <f t="shared" si="0"/>
        <v>0</v>
      </c>
      <c r="F19" s="6">
        <f t="shared" si="1"/>
        <v>0</v>
      </c>
    </row>
    <row r="20" spans="2:6">
      <c r="B20" t="s">
        <v>47</v>
      </c>
      <c r="C20" s="67"/>
      <c r="D20" s="61"/>
      <c r="E20" s="71">
        <f t="shared" si="0"/>
        <v>0</v>
      </c>
      <c r="F20" s="6">
        <f t="shared" si="1"/>
        <v>0</v>
      </c>
    </row>
    <row r="21" spans="2:6">
      <c r="B21" t="s">
        <v>30</v>
      </c>
      <c r="C21" s="67"/>
      <c r="D21" s="61"/>
      <c r="E21" s="71">
        <f t="shared" si="0"/>
        <v>0</v>
      </c>
      <c r="F21" s="6">
        <f t="shared" si="1"/>
        <v>0</v>
      </c>
    </row>
    <row r="22" spans="2:6">
      <c r="B22" t="s">
        <v>48</v>
      </c>
      <c r="C22" s="67"/>
      <c r="D22" s="61"/>
      <c r="E22" s="71">
        <f t="shared" si="0"/>
        <v>0</v>
      </c>
      <c r="F22" s="6">
        <f t="shared" si="1"/>
        <v>0</v>
      </c>
    </row>
    <row r="23" spans="2:6">
      <c r="B23" t="s">
        <v>49</v>
      </c>
      <c r="C23" s="67"/>
      <c r="D23" s="61"/>
      <c r="E23" s="71">
        <f t="shared" si="0"/>
        <v>0</v>
      </c>
      <c r="F23" s="6">
        <f t="shared" si="1"/>
        <v>0</v>
      </c>
    </row>
    <row r="24" spans="2:6">
      <c r="B24" t="s">
        <v>31</v>
      </c>
      <c r="C24" s="67"/>
      <c r="D24" s="61"/>
      <c r="E24" s="71">
        <f t="shared" si="0"/>
        <v>0</v>
      </c>
      <c r="F24" s="6">
        <f t="shared" si="1"/>
        <v>0</v>
      </c>
    </row>
    <row r="25" spans="2:6">
      <c r="B25" t="s">
        <v>50</v>
      </c>
      <c r="C25" s="67"/>
      <c r="D25" s="61"/>
      <c r="E25" s="71">
        <f t="shared" si="0"/>
        <v>0</v>
      </c>
      <c r="F25" s="6">
        <f t="shared" si="1"/>
        <v>0</v>
      </c>
    </row>
    <row r="26" spans="2:6" s="1" customFormat="1" ht="16.5" customHeight="1">
      <c r="B26" s="1" t="s">
        <v>61</v>
      </c>
      <c r="C26" s="1">
        <f>SUM(C8:C25)</f>
        <v>0</v>
      </c>
      <c r="D26" s="16">
        <f>SUM(D8:D25)</f>
        <v>0</v>
      </c>
      <c r="E26" s="16">
        <f>SUM(E8:E25)</f>
        <v>0</v>
      </c>
      <c r="F26" s="16">
        <f t="shared" si="1"/>
        <v>0</v>
      </c>
    </row>
    <row r="29" spans="2:6">
      <c r="B29" s="110" t="s">
        <v>138</v>
      </c>
      <c r="C29" s="110"/>
      <c r="D29" s="21"/>
      <c r="E29" s="21"/>
    </row>
    <row r="30" spans="2:6">
      <c r="B30" s="25"/>
      <c r="C30" s="6"/>
      <c r="E30" t="s">
        <v>14</v>
      </c>
    </row>
    <row r="31" spans="2:6">
      <c r="C31" s="6"/>
    </row>
    <row r="32" spans="2:6">
      <c r="C32" s="6"/>
    </row>
    <row r="33" spans="2:3">
      <c r="C33" s="6"/>
    </row>
    <row r="34" spans="2:3">
      <c r="C34" s="6"/>
    </row>
    <row r="35" spans="2:3">
      <c r="B35" s="1"/>
      <c r="C35" s="16"/>
    </row>
  </sheetData>
  <mergeCells count="4">
    <mergeCell ref="B29:C29"/>
    <mergeCell ref="B1:F2"/>
    <mergeCell ref="C5:D5"/>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AF70-AEB3-4F63-B46F-156077CCE8B5}">
  <dimension ref="A1:U63"/>
  <sheetViews>
    <sheetView zoomScale="80" zoomScaleNormal="80" workbookViewId="0">
      <pane xSplit="4" ySplit="9" topLeftCell="E11" activePane="bottomRight" state="frozen"/>
      <selection pane="topRight" activeCell="E1" sqref="E1"/>
      <selection pane="bottomLeft" activeCell="A10" sqref="A10"/>
      <selection pane="bottomRight" activeCell="I60" sqref="I60"/>
    </sheetView>
  </sheetViews>
  <sheetFormatPr defaultRowHeight="14.4"/>
  <cols>
    <col min="1" max="1" width="67.6640625" customWidth="1"/>
    <col min="2" max="2" width="26.44140625" hidden="1" customWidth="1"/>
    <col min="3" max="3" width="25.33203125" bestFit="1" customWidth="1"/>
    <col min="4" max="4" width="1.6640625" bestFit="1" customWidth="1"/>
    <col min="5" max="16" width="10.6640625" customWidth="1"/>
    <col min="17" max="19" width="8.109375" bestFit="1" customWidth="1"/>
  </cols>
  <sheetData>
    <row r="1" spans="1:19" ht="18">
      <c r="A1" s="108" t="s">
        <v>152</v>
      </c>
      <c r="D1" s="11"/>
      <c r="E1" s="118" t="s">
        <v>40</v>
      </c>
      <c r="F1" s="119"/>
      <c r="G1" s="119"/>
      <c r="H1" s="119"/>
      <c r="I1" s="119"/>
      <c r="J1" s="119"/>
      <c r="K1" s="119"/>
      <c r="L1" s="119"/>
      <c r="M1" s="119"/>
      <c r="N1" s="119"/>
      <c r="O1" s="119"/>
      <c r="P1" s="119"/>
    </row>
    <row r="2" spans="1:19">
      <c r="A2" s="109"/>
      <c r="C2" s="5"/>
      <c r="D2" s="12"/>
      <c r="E2" s="13">
        <v>43922</v>
      </c>
      <c r="F2" s="13">
        <v>43952</v>
      </c>
      <c r="G2" s="13">
        <v>43983</v>
      </c>
      <c r="H2" s="13">
        <v>44013</v>
      </c>
      <c r="I2" s="13">
        <v>44044</v>
      </c>
      <c r="J2" s="13">
        <v>44075</v>
      </c>
      <c r="K2" s="13">
        <v>44105</v>
      </c>
      <c r="L2" s="13">
        <v>44136</v>
      </c>
      <c r="M2" s="13">
        <v>44166</v>
      </c>
      <c r="N2" s="13">
        <v>44197</v>
      </c>
      <c r="O2" s="13">
        <v>44228</v>
      </c>
      <c r="P2" s="13">
        <v>44256</v>
      </c>
    </row>
    <row r="3" spans="1:19">
      <c r="A3" s="109"/>
      <c r="C3" s="73" t="s">
        <v>131</v>
      </c>
      <c r="D3" s="60"/>
      <c r="E3" s="68">
        <v>1</v>
      </c>
      <c r="F3" s="68">
        <v>0.8</v>
      </c>
      <c r="G3" s="68">
        <v>0.6</v>
      </c>
      <c r="H3" s="68">
        <v>0.4</v>
      </c>
      <c r="I3" s="68">
        <v>0.2</v>
      </c>
      <c r="J3" s="68">
        <v>0.2</v>
      </c>
      <c r="K3" s="68">
        <v>0.4</v>
      </c>
      <c r="L3" s="68">
        <v>0.6</v>
      </c>
      <c r="M3" s="68">
        <v>0.8</v>
      </c>
      <c r="N3" s="68">
        <v>1</v>
      </c>
      <c r="O3" s="68">
        <v>1.05</v>
      </c>
      <c r="P3" s="68">
        <v>1.1000000000000001</v>
      </c>
    </row>
    <row r="4" spans="1:19">
      <c r="A4" s="109"/>
      <c r="C4" s="59"/>
      <c r="D4" s="12"/>
      <c r="E4" s="20"/>
      <c r="F4" s="20"/>
      <c r="G4" s="20"/>
      <c r="H4" s="20"/>
      <c r="I4" s="20"/>
      <c r="J4" s="20"/>
      <c r="K4" s="20"/>
      <c r="L4" s="20"/>
      <c r="M4" s="20"/>
      <c r="N4" s="20"/>
      <c r="O4" s="20"/>
      <c r="P4" s="20"/>
    </row>
    <row r="5" spans="1:19">
      <c r="C5" s="59" t="s">
        <v>132</v>
      </c>
      <c r="D5" s="12"/>
      <c r="E5" s="7">
        <v>22</v>
      </c>
      <c r="F5" s="7">
        <v>20</v>
      </c>
      <c r="G5" s="7">
        <v>22</v>
      </c>
      <c r="H5" s="7">
        <v>22</v>
      </c>
      <c r="I5" s="7">
        <v>21</v>
      </c>
      <c r="J5" s="7">
        <v>21</v>
      </c>
      <c r="K5" s="7">
        <v>22</v>
      </c>
      <c r="L5" s="7">
        <v>20</v>
      </c>
      <c r="M5" s="7">
        <v>22</v>
      </c>
      <c r="N5">
        <v>20</v>
      </c>
      <c r="O5">
        <v>20</v>
      </c>
      <c r="P5">
        <v>23</v>
      </c>
    </row>
    <row r="6" spans="1:19">
      <c r="C6" s="59" t="s">
        <v>133</v>
      </c>
      <c r="D6" s="12"/>
      <c r="E6" s="83">
        <f t="shared" ref="E6:M6" si="0">E14/E5</f>
        <v>4.5454545454545459</v>
      </c>
      <c r="F6" s="83">
        <f t="shared" si="0"/>
        <v>3.6363636363636367</v>
      </c>
      <c r="G6" s="83">
        <f t="shared" si="0"/>
        <v>3</v>
      </c>
      <c r="H6" s="83">
        <f t="shared" si="0"/>
        <v>1.8181818181818186</v>
      </c>
      <c r="I6" s="83">
        <f t="shared" si="0"/>
        <v>0.90909090909090917</v>
      </c>
      <c r="J6" s="83">
        <f t="shared" si="0"/>
        <v>1</v>
      </c>
      <c r="K6" s="83">
        <f t="shared" si="0"/>
        <v>1.7391304347826086</v>
      </c>
      <c r="L6" s="83">
        <f t="shared" si="0"/>
        <v>3</v>
      </c>
      <c r="M6" s="83">
        <f t="shared" si="0"/>
        <v>3.8095238095238098</v>
      </c>
      <c r="N6" s="84">
        <f>N14/N5</f>
        <v>4.5454545454545459</v>
      </c>
      <c r="O6" s="84">
        <f>O14/O5</f>
        <v>5.25</v>
      </c>
      <c r="P6" s="84">
        <f>P14/P5</f>
        <v>5.0000000000000009</v>
      </c>
      <c r="S6" s="5"/>
    </row>
    <row r="7" spans="1:19">
      <c r="D7" s="12"/>
      <c r="E7" s="7"/>
      <c r="F7" s="7"/>
      <c r="G7" s="7"/>
      <c r="H7" s="7"/>
      <c r="I7" s="7"/>
      <c r="J7" s="7"/>
      <c r="K7" s="7"/>
      <c r="L7" s="7"/>
      <c r="M7" s="7"/>
    </row>
    <row r="8" spans="1:19" ht="18">
      <c r="D8" s="12"/>
      <c r="E8" s="120" t="s">
        <v>104</v>
      </c>
      <c r="F8" s="121"/>
      <c r="G8" s="121"/>
      <c r="H8" s="121"/>
      <c r="I8" s="121"/>
      <c r="J8" s="121"/>
      <c r="K8" s="121"/>
      <c r="L8" s="121"/>
      <c r="M8" s="121"/>
      <c r="N8" s="121"/>
      <c r="O8" s="121"/>
      <c r="P8" s="121"/>
    </row>
    <row r="9" spans="1:19">
      <c r="A9" s="2" t="s">
        <v>25</v>
      </c>
      <c r="B9" s="2" t="s">
        <v>26</v>
      </c>
      <c r="C9" s="2" t="s">
        <v>27</v>
      </c>
      <c r="D9" s="12"/>
      <c r="E9" s="4">
        <v>43941</v>
      </c>
      <c r="F9" s="4">
        <v>43971</v>
      </c>
      <c r="G9" s="4">
        <v>44002</v>
      </c>
      <c r="H9" s="4">
        <v>44032</v>
      </c>
      <c r="I9" s="4">
        <v>44063</v>
      </c>
      <c r="J9" s="4">
        <v>44094</v>
      </c>
      <c r="K9" s="4">
        <v>44124</v>
      </c>
      <c r="L9" s="4">
        <v>44155</v>
      </c>
      <c r="M9" s="4">
        <v>44185</v>
      </c>
      <c r="N9" s="13">
        <v>44217</v>
      </c>
      <c r="O9" s="13">
        <v>44248</v>
      </c>
      <c r="P9" s="13">
        <v>44276</v>
      </c>
    </row>
    <row r="10" spans="1:19" s="9" customFormat="1">
      <c r="A10" s="8" t="s">
        <v>7</v>
      </c>
      <c r="C10" t="s">
        <v>14</v>
      </c>
      <c r="D10" s="12" t="s">
        <v>14</v>
      </c>
      <c r="E10" s="10"/>
      <c r="F10" s="10"/>
      <c r="G10" s="10"/>
      <c r="H10" s="10"/>
      <c r="I10" s="10"/>
      <c r="J10" s="10"/>
      <c r="K10" s="10"/>
      <c r="L10" s="10"/>
      <c r="M10" s="10"/>
    </row>
    <row r="11" spans="1:19">
      <c r="A11" s="3" t="s">
        <v>71</v>
      </c>
      <c r="B11" t="s">
        <v>7</v>
      </c>
      <c r="D11" s="12"/>
      <c r="E11" s="86">
        <f>(('Historical P&amp;L'!H7/('Historical P&amp;L'!H7+'Historical P&amp;L'!H8))*(E14+E13))</f>
        <v>80.000000000000014</v>
      </c>
      <c r="F11" s="86">
        <f>(('Historical P&amp;L'!I7/('Historical P&amp;L'!I7+'Historical P&amp;L'!I8))*(F14+F13))</f>
        <v>58.181818181818187</v>
      </c>
      <c r="G11" s="86">
        <f>(('Historical P&amp;L'!J7/('Historical P&amp;L'!J7+'Historical P&amp;L'!J8))*(G14+G13))</f>
        <v>52.800000000000004</v>
      </c>
      <c r="H11" s="86">
        <f>(('Historical P&amp;L'!K7/('Historical P&amp;L'!K7+'Historical P&amp;L'!K8))*(H14+H13))</f>
        <v>32.000000000000007</v>
      </c>
      <c r="I11" s="86">
        <f>(('Historical P&amp;L'!L7/('Historical P&amp;L'!L7+'Historical P&amp;L'!L8))*(I14+I13))</f>
        <v>15.272727272727275</v>
      </c>
      <c r="J11" s="86">
        <f>(('Historical P&amp;L'!M7/('Historical P&amp;L'!M7+'Historical P&amp;L'!M8))*(J14+J13))</f>
        <v>16.8</v>
      </c>
      <c r="K11" s="86">
        <f>(('Historical P&amp;L'!N7/('Historical P&amp;L'!N7+'Historical P&amp;L'!N8))*(K14+K13))</f>
        <v>30.608695652173914</v>
      </c>
      <c r="L11" s="86">
        <f>(('Historical P&amp;L'!O7/('Historical P&amp;L'!O7+'Historical P&amp;L'!O8))*(L14+L13))</f>
        <v>48</v>
      </c>
      <c r="M11" s="86">
        <f>(('Historical P&amp;L'!P7/('Historical P&amp;L'!P7+'Historical P&amp;L'!P8))*(M14+M13))</f>
        <v>67.047619047619051</v>
      </c>
      <c r="N11" s="86">
        <f>(('Historical P&amp;L'!Q7/('Historical P&amp;L'!Q7+'Historical P&amp;L'!Q8))*(N14+N13))</f>
        <v>72.727272727272734</v>
      </c>
      <c r="O11" s="86">
        <f>(('Historical P&amp;L'!R7/('Historical P&amp;L'!R7+'Historical P&amp;L'!R8))*(O14+O13))</f>
        <v>84</v>
      </c>
      <c r="P11" s="86">
        <f>(('Historical P&amp;L'!S7/('Historical P&amp;L'!S7+'Historical P&amp;L'!S8))*(P14+P13))</f>
        <v>92.000000000000028</v>
      </c>
    </row>
    <row r="12" spans="1:19">
      <c r="A12" s="3" t="s">
        <v>72</v>
      </c>
      <c r="B12" t="s">
        <v>7</v>
      </c>
      <c r="D12" s="12"/>
      <c r="E12" s="86">
        <f>('Historical P&amp;L'!H8/('Historical P&amp;L'!H7+'Historical P&amp;L'!H8))*(E14+E13)</f>
        <v>20.000000000000004</v>
      </c>
      <c r="F12" s="86">
        <f>('Historical P&amp;L'!I8/('Historical P&amp;L'!I7+'Historical P&amp;L'!I8))*(F14+F13)</f>
        <v>14.545454545454547</v>
      </c>
      <c r="G12" s="86">
        <f>('Historical P&amp;L'!J8/('Historical P&amp;L'!J7+'Historical P&amp;L'!J8))*(G14+G13)</f>
        <v>13.200000000000001</v>
      </c>
      <c r="H12" s="86">
        <f>('Historical P&amp;L'!K8/('Historical P&amp;L'!K7+'Historical P&amp;L'!K8))*(H14+H13)</f>
        <v>8.0000000000000018</v>
      </c>
      <c r="I12" s="86">
        <f>('Historical P&amp;L'!L8/('Historical P&amp;L'!L7+'Historical P&amp;L'!L8))*(I14+I13)</f>
        <v>3.8181818181818188</v>
      </c>
      <c r="J12" s="86">
        <f>('Historical P&amp;L'!M8/('Historical P&amp;L'!M7+'Historical P&amp;L'!M8))*(J14+J13)</f>
        <v>4.2</v>
      </c>
      <c r="K12" s="86">
        <f>('Historical P&amp;L'!N8/('Historical P&amp;L'!N7+'Historical P&amp;L'!N8))*(K14+K13)</f>
        <v>7.6521739130434785</v>
      </c>
      <c r="L12" s="86">
        <f>('Historical P&amp;L'!O8/('Historical P&amp;L'!O7+'Historical P&amp;L'!O8))*(L14+L13)</f>
        <v>12</v>
      </c>
      <c r="M12" s="86">
        <f>('Historical P&amp;L'!P8/('Historical P&amp;L'!P7+'Historical P&amp;L'!P8))*(M14+M13)</f>
        <v>16.761904761904763</v>
      </c>
      <c r="N12" s="86">
        <f>('Historical P&amp;L'!Q8/('Historical P&amp;L'!Q7+'Historical P&amp;L'!Q8))*(N14+N13)</f>
        <v>18.181818181818183</v>
      </c>
      <c r="O12" s="86">
        <f>('Historical P&amp;L'!R8/('Historical P&amp;L'!R7+'Historical P&amp;L'!R8))*(O14+O13)</f>
        <v>21</v>
      </c>
      <c r="P12" s="86">
        <f>('Historical P&amp;L'!S8/('Historical P&amp;L'!S7+'Historical P&amp;L'!S8))*(P14+P13)</f>
        <v>23.000000000000007</v>
      </c>
    </row>
    <row r="13" spans="1:19" hidden="1">
      <c r="A13" s="3" t="s">
        <v>12</v>
      </c>
      <c r="B13" t="s">
        <v>7</v>
      </c>
      <c r="D13" s="12"/>
      <c r="E13" s="86">
        <f>('Historical P&amp;L'!H9/'Historical P&amp;L'!H10)*E14</f>
        <v>0</v>
      </c>
      <c r="F13" s="86">
        <f>('Historical P&amp;L'!I9/'Historical P&amp;L'!I10)*F14</f>
        <v>0</v>
      </c>
      <c r="G13" s="86">
        <f>('Historical P&amp;L'!J9/'Historical P&amp;L'!J10)*G14</f>
        <v>0</v>
      </c>
      <c r="H13" s="86">
        <f>('Historical P&amp;L'!K9/'Historical P&amp;L'!K10)*H14</f>
        <v>0</v>
      </c>
      <c r="I13" s="86">
        <f>('Historical P&amp;L'!L9/'Historical P&amp;L'!L10)*I14</f>
        <v>0</v>
      </c>
      <c r="J13" s="86">
        <f>('Historical P&amp;L'!M9/'Historical P&amp;L'!M10)*J14</f>
        <v>0</v>
      </c>
      <c r="K13" s="86">
        <f>('Historical P&amp;L'!N9/'Historical P&amp;L'!N10)*K14</f>
        <v>0</v>
      </c>
      <c r="L13" s="86">
        <f>('Historical P&amp;L'!O9/'Historical P&amp;L'!O10)*L14</f>
        <v>0</v>
      </c>
      <c r="M13" s="86">
        <f>('Historical P&amp;L'!P9/'Historical P&amp;L'!P10)*M14</f>
        <v>0</v>
      </c>
      <c r="N13" s="86">
        <f>('Historical P&amp;L'!Q9/'Historical P&amp;L'!Q10)*N14</f>
        <v>0</v>
      </c>
      <c r="O13" s="86">
        <f>('Historical P&amp;L'!R9/'Historical P&amp;L'!R10)*O14</f>
        <v>0</v>
      </c>
      <c r="P13" s="86">
        <f>('Historical P&amp;L'!S9/'Historical P&amp;L'!S10)*P14</f>
        <v>0</v>
      </c>
    </row>
    <row r="14" spans="1:19" s="8" customFormat="1">
      <c r="A14" s="8" t="s">
        <v>57</v>
      </c>
      <c r="B14" s="1" t="s">
        <v>38</v>
      </c>
      <c r="C14" s="1"/>
      <c r="D14" s="18"/>
      <c r="E14" s="88">
        <f>'Historical P&amp;L'!H2*E5*'Proforma P&amp;L'!E3</f>
        <v>100.00000000000001</v>
      </c>
      <c r="F14" s="88">
        <f>'Historical P&amp;L'!I2*F5*'Proforma P&amp;L'!F3</f>
        <v>72.727272727272734</v>
      </c>
      <c r="G14" s="88">
        <f>'Historical P&amp;L'!J2*G5*'Proforma P&amp;L'!G3</f>
        <v>66</v>
      </c>
      <c r="H14" s="88">
        <f>'Historical P&amp;L'!K2*H5*'Proforma P&amp;L'!H3</f>
        <v>40.000000000000007</v>
      </c>
      <c r="I14" s="88">
        <f>'Historical P&amp;L'!L2*I5*'Proforma P&amp;L'!I3</f>
        <v>19.090909090909093</v>
      </c>
      <c r="J14" s="88">
        <f>'Historical P&amp;L'!M2*J5*'Proforma P&amp;L'!J3</f>
        <v>21</v>
      </c>
      <c r="K14" s="88">
        <f>'Historical P&amp;L'!N2*K5*'Proforma P&amp;L'!K3</f>
        <v>38.260869565217391</v>
      </c>
      <c r="L14" s="88">
        <f>'Historical P&amp;L'!O2*L5*'Proforma P&amp;L'!L3</f>
        <v>60</v>
      </c>
      <c r="M14" s="88">
        <f>'Historical P&amp;L'!P2*M5*'Proforma P&amp;L'!M3</f>
        <v>83.80952380952381</v>
      </c>
      <c r="N14" s="88">
        <f>'Historical P&amp;L'!Q2*N5*'Proforma P&amp;L'!N3</f>
        <v>90.909090909090921</v>
      </c>
      <c r="O14" s="88">
        <f>'Historical P&amp;L'!R2*O5*'Proforma P&amp;L'!O3</f>
        <v>105</v>
      </c>
      <c r="P14" s="88">
        <f>'Historical P&amp;L'!S2*P5*'Proforma P&amp;L'!P3</f>
        <v>115.00000000000003</v>
      </c>
    </row>
    <row r="15" spans="1:19">
      <c r="A15" t="s">
        <v>14</v>
      </c>
      <c r="D15" s="12"/>
      <c r="E15" s="86" t="s">
        <v>14</v>
      </c>
      <c r="F15" s="86"/>
      <c r="G15" s="89" t="s">
        <v>14</v>
      </c>
      <c r="H15" s="86"/>
      <c r="I15" s="86"/>
      <c r="J15" s="86"/>
      <c r="K15" s="86"/>
      <c r="L15" s="86"/>
      <c r="M15" s="86"/>
      <c r="N15" s="86"/>
      <c r="O15" s="86"/>
      <c r="P15" s="86"/>
    </row>
    <row r="16" spans="1:19">
      <c r="A16" s="1" t="s">
        <v>6</v>
      </c>
      <c r="B16" t="s">
        <v>14</v>
      </c>
      <c r="D16" s="12"/>
      <c r="E16" s="86" t="s">
        <v>14</v>
      </c>
      <c r="F16" s="86"/>
      <c r="G16" s="86"/>
      <c r="H16" s="86"/>
      <c r="I16" s="86"/>
      <c r="J16" s="86"/>
      <c r="K16" s="86"/>
      <c r="L16" s="86"/>
      <c r="M16" s="86"/>
      <c r="N16" s="86"/>
      <c r="O16" s="86"/>
      <c r="P16" s="86"/>
    </row>
    <row r="17" spans="1:21">
      <c r="A17" s="3" t="s">
        <v>78</v>
      </c>
      <c r="B17" t="s">
        <v>6</v>
      </c>
      <c r="D17" s="12"/>
      <c r="E17" s="90">
        <f>('Historical P&amp;L'!H13/'Historical P&amp;L'!H$19)*E$23</f>
        <v>60.000000000000014</v>
      </c>
      <c r="F17" s="90">
        <f>('Historical P&amp;L'!I13/'Historical P&amp;L'!I$19)*F$23</f>
        <v>43.63636363636364</v>
      </c>
      <c r="G17" s="90">
        <f>('Historical P&amp;L'!J13/'Historical P&amp;L'!J$19)*G$23</f>
        <v>39.600000000000009</v>
      </c>
      <c r="H17" s="90">
        <f>('Historical P&amp;L'!K13/'Historical P&amp;L'!K$19)*H$23</f>
        <v>24.000000000000004</v>
      </c>
      <c r="I17" s="90">
        <f>('Historical P&amp;L'!L13/'Historical P&amp;L'!L$19)*I$23</f>
        <v>11.454545454545459</v>
      </c>
      <c r="J17" s="90">
        <f>('Historical P&amp;L'!M13/'Historical P&amp;L'!M$19)*J$23</f>
        <v>12.6</v>
      </c>
      <c r="K17" s="90">
        <f>('Historical P&amp;L'!N13/'Historical P&amp;L'!N$19)*K$23</f>
        <v>22.956521739130437</v>
      </c>
      <c r="L17" s="90">
        <f>('Historical P&amp;L'!O13/'Historical P&amp;L'!O$19)*L$23</f>
        <v>36</v>
      </c>
      <c r="M17" s="90">
        <f>('Historical P&amp;L'!P13/'Historical P&amp;L'!P$19)*M$23</f>
        <v>50.285714285714285</v>
      </c>
      <c r="N17" s="90">
        <f>('Historical P&amp;L'!Q13/'Historical P&amp;L'!Q$19)*N$23</f>
        <v>54.545454545454561</v>
      </c>
      <c r="O17" s="90">
        <f>('Historical P&amp;L'!R13/'Historical P&amp;L'!R$19)*O$23</f>
        <v>63.000000000000007</v>
      </c>
      <c r="P17" s="90">
        <f>('Historical P&amp;L'!S13/'Historical P&amp;L'!S$19)*P$23</f>
        <v>69.000000000000014</v>
      </c>
      <c r="T17" s="93"/>
      <c r="U17" s="75"/>
    </row>
    <row r="18" spans="1:21">
      <c r="A18" s="3" t="s">
        <v>79</v>
      </c>
      <c r="B18" t="s">
        <v>6</v>
      </c>
      <c r="D18" s="12"/>
      <c r="E18" s="90">
        <f>('Historical P&amp;L'!H14/'Historical P&amp;L'!H$19)*E$23</f>
        <v>18.000000000000004</v>
      </c>
      <c r="F18" s="90">
        <f>('Historical P&amp;L'!I14/'Historical P&amp;L'!I$19)*F$23</f>
        <v>13.090909090909093</v>
      </c>
      <c r="G18" s="90">
        <f>('Historical P&amp;L'!J14/'Historical P&amp;L'!J$19)*G$23</f>
        <v>11.88</v>
      </c>
      <c r="H18" s="90">
        <f>('Historical P&amp;L'!K14/'Historical P&amp;L'!K$19)*H$23</f>
        <v>7.2000000000000011</v>
      </c>
      <c r="I18" s="90">
        <f>('Historical P&amp;L'!L14/'Historical P&amp;L'!L$19)*I$23</f>
        <v>3.4363636363636374</v>
      </c>
      <c r="J18" s="90">
        <f>('Historical P&amp;L'!M14/'Historical P&amp;L'!M$19)*J$23</f>
        <v>3.78</v>
      </c>
      <c r="K18" s="90">
        <f>('Historical P&amp;L'!N14/'Historical P&amp;L'!N$19)*K$23</f>
        <v>6.8869565217391315</v>
      </c>
      <c r="L18" s="90">
        <f>('Historical P&amp;L'!O14/'Historical P&amp;L'!O$19)*L$23</f>
        <v>10.8</v>
      </c>
      <c r="M18" s="90">
        <f>('Historical P&amp;L'!P14/'Historical P&amp;L'!P$19)*M$23</f>
        <v>15.085714285714285</v>
      </c>
      <c r="N18" s="90">
        <f>('Historical P&amp;L'!Q14/'Historical P&amp;L'!Q$19)*N$23</f>
        <v>16.363636363636367</v>
      </c>
      <c r="O18" s="90">
        <f>('Historical P&amp;L'!R14/'Historical P&amp;L'!R$19)*O$23</f>
        <v>18.900000000000002</v>
      </c>
      <c r="P18" s="90">
        <f>('Historical P&amp;L'!S14/'Historical P&amp;L'!S$19)*P$23</f>
        <v>20.700000000000006</v>
      </c>
      <c r="T18" s="75"/>
      <c r="U18" s="75"/>
    </row>
    <row r="19" spans="1:21" hidden="1">
      <c r="A19" s="3" t="s">
        <v>13</v>
      </c>
      <c r="B19" t="s">
        <v>6</v>
      </c>
      <c r="C19">
        <f>'Historical P&amp;L'!C15</f>
        <v>0</v>
      </c>
      <c r="D19" s="12"/>
      <c r="E19" s="86">
        <f>('Historical P&amp;L'!H15/'Historical P&amp;L'!H$19)*E$23</f>
        <v>0</v>
      </c>
      <c r="F19" s="86">
        <f>('Historical P&amp;L'!I15/'Historical P&amp;L'!I$19)*F$23</f>
        <v>0</v>
      </c>
      <c r="G19" s="86">
        <f>('Historical P&amp;L'!J15/'Historical P&amp;L'!J$19)*G$23</f>
        <v>0</v>
      </c>
      <c r="H19" s="86">
        <f>('Historical P&amp;L'!K15/'Historical P&amp;L'!K$19)*H$23</f>
        <v>0</v>
      </c>
      <c r="I19" s="86">
        <f>('Historical P&amp;L'!L15/'Historical P&amp;L'!L$19)*I$23</f>
        <v>0</v>
      </c>
      <c r="J19" s="86">
        <f>('Historical P&amp;L'!M15/'Historical P&amp;L'!M$19)*J$23</f>
        <v>0</v>
      </c>
      <c r="K19" s="86">
        <f>('Historical P&amp;L'!N15/'Historical P&amp;L'!N$19)*K$23</f>
        <v>0</v>
      </c>
      <c r="L19" s="86">
        <f>('Historical P&amp;L'!O15/'Historical P&amp;L'!O$19)*L$23</f>
        <v>0</v>
      </c>
      <c r="M19" s="86">
        <f>('Historical P&amp;L'!P15/'Historical P&amp;L'!P$19)*M$23</f>
        <v>0</v>
      </c>
      <c r="N19" s="86">
        <f>('Historical P&amp;L'!Q15/'Historical P&amp;L'!Q$19)*N$23</f>
        <v>0</v>
      </c>
      <c r="O19" s="86">
        <f>('Historical P&amp;L'!R15/'Historical P&amp;L'!R$19)*O$23</f>
        <v>0</v>
      </c>
      <c r="P19" s="86">
        <f>('Historical P&amp;L'!S15/'Historical P&amp;L'!S$19)*P$23</f>
        <v>0</v>
      </c>
    </row>
    <row r="20" spans="1:21" hidden="1">
      <c r="A20" s="3" t="s">
        <v>11</v>
      </c>
      <c r="B20" t="s">
        <v>6</v>
      </c>
      <c r="C20">
        <f>'Historical P&amp;L'!C16</f>
        <v>0</v>
      </c>
      <c r="D20" s="12"/>
      <c r="E20" s="86">
        <f>('Historical P&amp;L'!H16/'Historical P&amp;L'!H$19)*E$23</f>
        <v>0</v>
      </c>
      <c r="F20" s="86">
        <f>('Historical P&amp;L'!I16/'Historical P&amp;L'!I$19)*F$23</f>
        <v>0</v>
      </c>
      <c r="G20" s="86">
        <f>('Historical P&amp;L'!J16/'Historical P&amp;L'!J$19)*G$23</f>
        <v>0</v>
      </c>
      <c r="H20" s="86">
        <f>('Historical P&amp;L'!K16/'Historical P&amp;L'!K$19)*H$23</f>
        <v>0</v>
      </c>
      <c r="I20" s="86">
        <f>('Historical P&amp;L'!L16/'Historical P&amp;L'!L$19)*I$23</f>
        <v>0</v>
      </c>
      <c r="J20" s="86">
        <f>('Historical P&amp;L'!M16/'Historical P&amp;L'!M$19)*J$23</f>
        <v>0</v>
      </c>
      <c r="K20" s="86">
        <f>('Historical P&amp;L'!N16/'Historical P&amp;L'!N$19)*K$23</f>
        <v>0</v>
      </c>
      <c r="L20" s="86">
        <f>('Historical P&amp;L'!O16/'Historical P&amp;L'!O$19)*L$23</f>
        <v>0</v>
      </c>
      <c r="M20" s="86">
        <f>('Historical P&amp;L'!P16/'Historical P&amp;L'!P$19)*M$23</f>
        <v>0</v>
      </c>
      <c r="N20" s="86">
        <f>('Historical P&amp;L'!Q16/'Historical P&amp;L'!Q$19)*N$23</f>
        <v>0</v>
      </c>
      <c r="O20" s="86">
        <f>('Historical P&amp;L'!R16/'Historical P&amp;L'!R$19)*O$23</f>
        <v>0</v>
      </c>
      <c r="P20" s="86">
        <f>('Historical P&amp;L'!S16/'Historical P&amp;L'!S$19)*P$23</f>
        <v>0</v>
      </c>
    </row>
    <row r="21" spans="1:21" hidden="1">
      <c r="A21" s="3" t="s">
        <v>62</v>
      </c>
      <c r="B21" t="s">
        <v>6</v>
      </c>
      <c r="C21">
        <f>'Historical P&amp;L'!C17</f>
        <v>0</v>
      </c>
      <c r="D21" s="12"/>
      <c r="E21" s="86">
        <f>('Historical P&amp;L'!H17/'Historical P&amp;L'!H$19)*E$23</f>
        <v>0</v>
      </c>
      <c r="F21" s="86">
        <f>('Historical P&amp;L'!I17/'Historical P&amp;L'!I$19)*F$23</f>
        <v>0</v>
      </c>
      <c r="G21" s="86">
        <f>('Historical P&amp;L'!J17/'Historical P&amp;L'!J$19)*G$23</f>
        <v>0</v>
      </c>
      <c r="H21" s="86">
        <f>('Historical P&amp;L'!K17/'Historical P&amp;L'!K$19)*H$23</f>
        <v>0</v>
      </c>
      <c r="I21" s="86">
        <f>('Historical P&amp;L'!L17/'Historical P&amp;L'!L$19)*I$23</f>
        <v>0</v>
      </c>
      <c r="J21" s="86">
        <f>('Historical P&amp;L'!M17/'Historical P&amp;L'!M$19)*J$23</f>
        <v>0</v>
      </c>
      <c r="K21" s="86">
        <f>('Historical P&amp;L'!N17/'Historical P&amp;L'!N$19)*K$23</f>
        <v>0</v>
      </c>
      <c r="L21" s="86">
        <f>('Historical P&amp;L'!O17/'Historical P&amp;L'!O$19)*L$23</f>
        <v>0</v>
      </c>
      <c r="M21" s="86">
        <f>('Historical P&amp;L'!P17/'Historical P&amp;L'!P$19)*M$23</f>
        <v>0</v>
      </c>
      <c r="N21" s="86">
        <f>('Historical P&amp;L'!Q17/'Historical P&amp;L'!Q$19)*N$23</f>
        <v>0</v>
      </c>
      <c r="O21" s="86">
        <f>('Historical P&amp;L'!R17/'Historical P&amp;L'!R$19)*O$23</f>
        <v>0</v>
      </c>
      <c r="P21" s="86">
        <f>('Historical P&amp;L'!S17/'Historical P&amp;L'!S$19)*P$23</f>
        <v>0</v>
      </c>
      <c r="R21" s="6"/>
    </row>
    <row r="22" spans="1:21" hidden="1">
      <c r="A22" s="3" t="s">
        <v>63</v>
      </c>
      <c r="B22" t="s">
        <v>6</v>
      </c>
      <c r="C22">
        <f>'Historical P&amp;L'!C18</f>
        <v>0</v>
      </c>
      <c r="D22" s="12"/>
      <c r="E22" s="86">
        <f>('Historical P&amp;L'!H18/'Historical P&amp;L'!H$19)*E$23</f>
        <v>0</v>
      </c>
      <c r="F22" s="86">
        <f>('Historical P&amp;L'!I18/'Historical P&amp;L'!I$19)*F$23</f>
        <v>0</v>
      </c>
      <c r="G22" s="86">
        <f>('Historical P&amp;L'!J18/'Historical P&amp;L'!J$19)*G$23</f>
        <v>0</v>
      </c>
      <c r="H22" s="86">
        <f>('Historical P&amp;L'!K18/'Historical P&amp;L'!K$19)*H$23</f>
        <v>0</v>
      </c>
      <c r="I22" s="86">
        <f>('Historical P&amp;L'!L18/'Historical P&amp;L'!L$19)*I$23</f>
        <v>0</v>
      </c>
      <c r="J22" s="86">
        <f>('Historical P&amp;L'!M18/'Historical P&amp;L'!M$19)*J$23</f>
        <v>0</v>
      </c>
      <c r="K22" s="86">
        <f>('Historical P&amp;L'!N18/'Historical P&amp;L'!N$19)*K$23</f>
        <v>0</v>
      </c>
      <c r="L22" s="86">
        <f>('Historical P&amp;L'!O18/'Historical P&amp;L'!O$19)*L$23</f>
        <v>0</v>
      </c>
      <c r="M22" s="86">
        <f>('Historical P&amp;L'!P18/'Historical P&amp;L'!P$19)*M$23</f>
        <v>0</v>
      </c>
      <c r="N22" s="86">
        <f>('Historical P&amp;L'!Q18/'Historical P&amp;L'!Q$19)*N$23</f>
        <v>0</v>
      </c>
      <c r="O22" s="86">
        <f>('Historical P&amp;L'!R18/'Historical P&amp;L'!R$19)*O$23</f>
        <v>0</v>
      </c>
      <c r="P22" s="86">
        <f>('Historical P&amp;L'!S18/'Historical P&amp;L'!S$19)*P$23</f>
        <v>0</v>
      </c>
    </row>
    <row r="23" spans="1:21" s="8" customFormat="1">
      <c r="A23" s="8" t="s">
        <v>58</v>
      </c>
      <c r="B23" s="1" t="s">
        <v>38</v>
      </c>
      <c r="C23" s="1"/>
      <c r="D23" s="18"/>
      <c r="E23" s="88">
        <f>E14-E25</f>
        <v>78.000000000000014</v>
      </c>
      <c r="F23" s="88">
        <f t="shared" ref="F23:M23" si="1">F14-F25</f>
        <v>56.727272727272734</v>
      </c>
      <c r="G23" s="88">
        <f t="shared" si="1"/>
        <v>51.480000000000004</v>
      </c>
      <c r="H23" s="88">
        <f t="shared" si="1"/>
        <v>31.200000000000003</v>
      </c>
      <c r="I23" s="88">
        <f t="shared" si="1"/>
        <v>14.890909090909094</v>
      </c>
      <c r="J23" s="88">
        <f t="shared" si="1"/>
        <v>16.38</v>
      </c>
      <c r="K23" s="88">
        <f t="shared" si="1"/>
        <v>29.843478260869567</v>
      </c>
      <c r="L23" s="88">
        <f t="shared" si="1"/>
        <v>46.8</v>
      </c>
      <c r="M23" s="88">
        <f t="shared" si="1"/>
        <v>65.371428571428567</v>
      </c>
      <c r="N23" s="88">
        <f t="shared" ref="N23:P23" si="2">N14-N25</f>
        <v>70.909090909090921</v>
      </c>
      <c r="O23" s="88">
        <f t="shared" si="2"/>
        <v>81.900000000000006</v>
      </c>
      <c r="P23" s="88">
        <f t="shared" si="2"/>
        <v>89.700000000000017</v>
      </c>
    </row>
    <row r="24" spans="1:21">
      <c r="D24" s="12"/>
      <c r="E24" s="86"/>
      <c r="F24" s="86"/>
      <c r="G24" s="86"/>
      <c r="H24" s="86"/>
      <c r="I24" s="86"/>
      <c r="J24" s="86"/>
      <c r="K24" s="86"/>
      <c r="L24" s="86"/>
      <c r="M24" s="86"/>
      <c r="N24" s="86"/>
      <c r="O24" s="86"/>
      <c r="P24" s="86"/>
    </row>
    <row r="25" spans="1:21" s="1" customFormat="1">
      <c r="A25" s="1" t="s">
        <v>8</v>
      </c>
      <c r="B25" s="1" t="s">
        <v>38</v>
      </c>
      <c r="D25" s="18"/>
      <c r="E25" s="85">
        <f>E26*E14</f>
        <v>22.000000000000004</v>
      </c>
      <c r="F25" s="85">
        <f t="shared" ref="F25:M25" si="3">F26*F14</f>
        <v>16</v>
      </c>
      <c r="G25" s="85">
        <f t="shared" si="3"/>
        <v>14.52</v>
      </c>
      <c r="H25" s="85">
        <f t="shared" si="3"/>
        <v>8.8000000000000025</v>
      </c>
      <c r="I25" s="85">
        <f t="shared" si="3"/>
        <v>4.2</v>
      </c>
      <c r="J25" s="85">
        <f t="shared" si="3"/>
        <v>4.62</v>
      </c>
      <c r="K25" s="85">
        <f t="shared" si="3"/>
        <v>8.4173913043478255</v>
      </c>
      <c r="L25" s="85">
        <f t="shared" si="3"/>
        <v>13.2</v>
      </c>
      <c r="M25" s="85">
        <f t="shared" si="3"/>
        <v>18.43809523809524</v>
      </c>
      <c r="N25" s="85">
        <f t="shared" ref="N25:P25" si="4">N26*N14</f>
        <v>20.000000000000004</v>
      </c>
      <c r="O25" s="85">
        <f t="shared" si="4"/>
        <v>23.1</v>
      </c>
      <c r="P25" s="85">
        <f t="shared" si="4"/>
        <v>25.300000000000008</v>
      </c>
    </row>
    <row r="26" spans="1:21" s="1" customFormat="1">
      <c r="A26" s="1" t="s">
        <v>59</v>
      </c>
      <c r="B26" s="1" t="s">
        <v>38</v>
      </c>
      <c r="D26" s="18"/>
      <c r="E26" s="17">
        <f>'Historical P&amp;L'!H22</f>
        <v>0.22</v>
      </c>
      <c r="F26" s="17">
        <f>'Historical P&amp;L'!I22</f>
        <v>0.22</v>
      </c>
      <c r="G26" s="17">
        <f>'Historical P&amp;L'!J22</f>
        <v>0.22</v>
      </c>
      <c r="H26" s="17">
        <f>'Historical P&amp;L'!K22</f>
        <v>0.22</v>
      </c>
      <c r="I26" s="17">
        <f>'Historical P&amp;L'!L22</f>
        <v>0.22</v>
      </c>
      <c r="J26" s="17">
        <f>'Historical P&amp;L'!M22</f>
        <v>0.22</v>
      </c>
      <c r="K26" s="17">
        <f>'Historical P&amp;L'!N22</f>
        <v>0.22</v>
      </c>
      <c r="L26" s="17">
        <f>'Historical P&amp;L'!O22</f>
        <v>0.22</v>
      </c>
      <c r="M26" s="17">
        <f>'Historical P&amp;L'!P22</f>
        <v>0.22</v>
      </c>
      <c r="N26" s="17">
        <f>'Historical P&amp;L'!Q22</f>
        <v>0.22</v>
      </c>
      <c r="O26" s="17">
        <f>'Historical P&amp;L'!R22</f>
        <v>0.22</v>
      </c>
      <c r="P26" s="17">
        <f>'Historical P&amp;L'!S22</f>
        <v>0.22</v>
      </c>
    </row>
    <row r="27" spans="1:21">
      <c r="C27" s="1"/>
      <c r="D27" s="12"/>
      <c r="N27" s="39"/>
    </row>
    <row r="28" spans="1:21">
      <c r="C28" s="1"/>
      <c r="D28" s="12"/>
    </row>
    <row r="29" spans="1:21" hidden="1">
      <c r="A29" s="1" t="s">
        <v>1</v>
      </c>
      <c r="B29" t="s">
        <v>14</v>
      </c>
      <c r="C29" s="1"/>
      <c r="D29" s="12"/>
      <c r="E29" t="s">
        <v>14</v>
      </c>
    </row>
    <row r="30" spans="1:21" s="1" customFormat="1">
      <c r="A30" s="1" t="str">
        <f>'Historical P&amp;L'!A26</f>
        <v>Total Sales and Marketing Expenses</v>
      </c>
      <c r="B30" s="1" t="s">
        <v>38</v>
      </c>
      <c r="C30" s="1" t="str">
        <f>VLOOKUP('Proforma P&amp;L'!A30,'Historical P&amp;L'!A:C,3,FALSE)</f>
        <v>Semi-Variable (50%)</v>
      </c>
      <c r="D30" s="18"/>
      <c r="E30" s="90">
        <f>IFERROR(_xlfn.IFS($C30="Fixed",'Historical P&amp;L'!S26,$C30="Variable",('Historical P&amp;L'!S26/'Historical P&amp;L'!S$2)*E$6,$C30="Semi-Variable (75%)",'Historical P&amp;L'!S26+('Historical P&amp;L'!S26/'Historical P&amp;L'!S$2)*(0.75*(E$6-'Historical P&amp;L'!S$2)),$C30="Semi-Variable (50%)",'Historical P&amp;L'!S26+('Historical P&amp;L'!S26/'Historical P&amp;L'!S$2)*(0.5*(E$6-'Historical P&amp;L'!S$2)),$C30="Semi-Variable (25%)",'Historical P&amp;L'!S26+('Historical P&amp;L'!S26/'Historical P&amp;L'!S$2)*(0.25*(E$6-'Historical P&amp;L'!S$2))),0)</f>
        <v>5</v>
      </c>
      <c r="F30" s="90">
        <f t="shared" ref="F30:O30" si="5">IFERROR(_xlfn.IFS($C30="Fixed",E30,$C30="Variable",(E30/E$6)*F$6,$C30="Semi-Variable (75%)",E30+(E30/E$6)*(0.75*(F$6-E$6)),$C30="Semi-Variable (50%)",E30+(E30/E$6)*(0.5*(F$6-E$6)),$C30="Semi-Variable (25%)",E30+(E30/E$6)*(0.25*(F$6-E$6))),0)</f>
        <v>4.5</v>
      </c>
      <c r="G30" s="90">
        <f t="shared" si="5"/>
        <v>4.1062500000000002</v>
      </c>
      <c r="H30" s="90">
        <f t="shared" si="5"/>
        <v>3.2974431818181822</v>
      </c>
      <c r="I30" s="90">
        <f t="shared" si="5"/>
        <v>2.4730823863636364</v>
      </c>
      <c r="J30" s="90">
        <f t="shared" si="5"/>
        <v>2.5967365056818181</v>
      </c>
      <c r="K30" s="90">
        <f t="shared" si="5"/>
        <v>3.556399996912055</v>
      </c>
      <c r="L30" s="90">
        <f t="shared" si="5"/>
        <v>4.8455949957926752</v>
      </c>
      <c r="M30" s="90">
        <f t="shared" si="5"/>
        <v>5.4993657491932746</v>
      </c>
      <c r="N30" s="90">
        <f t="shared" si="5"/>
        <v>6.0305544863312619</v>
      </c>
      <c r="O30" s="90">
        <f t="shared" si="5"/>
        <v>6.4979224590219342</v>
      </c>
      <c r="P30" s="90">
        <f>IFERROR(_xlfn.IFS($C30="Fixed",O30,$C30="Variable",(O30/O$6)*P$6,$C30="Semi-Variable (75%)",O30+(O30/O$6)*(0.75*(P$6-O$6)),$C30="Semi-Variable (50%)",O30+(O30/O$6)*(0.5*(P$6-O$6)),$C30="Semi-Variable (25%)",O30+(O30/O$6)*(0.25*(P$6-O$6))),0)</f>
        <v>6.3432100195214129</v>
      </c>
    </row>
    <row r="31" spans="1:21" hidden="1">
      <c r="C31" s="1"/>
      <c r="D31" s="12"/>
      <c r="E31" s="90"/>
      <c r="F31" s="90"/>
      <c r="G31" s="90"/>
      <c r="H31" s="90"/>
      <c r="I31" s="90"/>
      <c r="J31" s="90"/>
      <c r="K31" s="90"/>
      <c r="L31" s="90"/>
      <c r="M31" s="90"/>
      <c r="N31" s="90"/>
      <c r="O31" s="90"/>
      <c r="P31" s="90"/>
    </row>
    <row r="32" spans="1:21" hidden="1">
      <c r="A32" s="1" t="s">
        <v>2</v>
      </c>
      <c r="C32" s="1"/>
      <c r="D32" s="12"/>
      <c r="E32" s="90"/>
      <c r="F32" s="90"/>
      <c r="G32" s="90"/>
      <c r="H32" s="90"/>
      <c r="I32" s="90"/>
      <c r="J32" s="90"/>
      <c r="K32" s="90"/>
      <c r="L32" s="90"/>
      <c r="M32" s="90"/>
      <c r="N32" s="90"/>
      <c r="O32" s="90"/>
      <c r="P32" s="90"/>
    </row>
    <row r="33" spans="1:17" s="1" customFormat="1">
      <c r="A33" s="1" t="str">
        <f>'Historical P&amp;L'!A29</f>
        <v>Total Delivery Expenses (net freight charges recovered)</v>
      </c>
      <c r="B33" s="1" t="s">
        <v>38</v>
      </c>
      <c r="C33" s="1" t="str">
        <f>VLOOKUP('Proforma P&amp;L'!A33,'Historical P&amp;L'!A:C,3,FALSE)</f>
        <v>Variable</v>
      </c>
      <c r="D33" s="18"/>
      <c r="E33" s="90">
        <f t="array" ref="E33">IFERROR(_xlfn.IFS($C33="Fixed",'Historical P&amp;L'!S29,$C33="Variable",('Historical P&amp;L'!S29/'Historical P&amp;L'!S$2)*E$6,$C33="Semi-Variable (75%)",'Historical P&amp;L'!S29+('Historical P&amp;L'!S29/'Historical P&amp;L'!S$2)*(0.75*(E$6-'Historical P&amp;L'!S$2)),$C33="Semi-Variable (50%)",'Historical P&amp;L'!S29+('Historical P&amp;L'!S29/'Historical P&amp;L'!S$2)*(0.5*(E$6-'Historical P&amp;L'!S$2)),$C33="Semi-Variable (25%)",'Historical P&amp;L'!S29+('Historical P&amp;L'!S29/'Historical P&amp;L'!S$2)*(0.25*(E$6-'Historical P&amp;L'!S$2))),0)</f>
        <v>4</v>
      </c>
      <c r="F33" s="90">
        <f t="shared" ref="F33:O33" si="6">IFERROR(_xlfn.IFS($C33="Fixed",E33,$C33="Variable",(E33/E$6)*F$6,$C33="Semi-Variable (75%)",E33+(E33/E$6)*(0.75*(F$6-E$6)),$C33="Semi-Variable (50%)",E33+(E33/E$6)*(0.5*(F$6-E$6)),$C33="Semi-Variable (25%)",E33+(E33/E$6)*(0.25*(F$6-E$6))),0)</f>
        <v>3.1999999999999997</v>
      </c>
      <c r="G33" s="90">
        <f t="shared" si="6"/>
        <v>2.6399999999999997</v>
      </c>
      <c r="H33" s="90">
        <f t="shared" si="6"/>
        <v>1.6</v>
      </c>
      <c r="I33" s="90">
        <f t="shared" si="6"/>
        <v>0.79999999999999993</v>
      </c>
      <c r="J33" s="90">
        <f t="shared" si="6"/>
        <v>0.87999999999999989</v>
      </c>
      <c r="K33" s="90">
        <f t="shared" si="6"/>
        <v>1.5304347826086955</v>
      </c>
      <c r="L33" s="90">
        <f t="shared" si="6"/>
        <v>2.6399999999999997</v>
      </c>
      <c r="M33" s="90">
        <f t="shared" si="6"/>
        <v>3.352380952380952</v>
      </c>
      <c r="N33" s="90">
        <f t="shared" si="6"/>
        <v>4</v>
      </c>
      <c r="O33" s="90">
        <f t="shared" si="6"/>
        <v>4.6199999999999992</v>
      </c>
      <c r="P33" s="90">
        <f>IFERROR(_xlfn.IFS($C33="Fixed",O33,$C33="Variable",(O33/O$6)*P$6,$C33="Semi-Variable (75%)",O33+(O33/O$6)*(0.75*(P$6-O$6)),$C33="Semi-Variable (50%)",O33+(O33/O$6)*(0.5*(P$6-O$6)),$C33="Semi-Variable (25%)",O33+(O33/O$6)*(0.25*(P$6-O$6))),0)</f>
        <v>4.4000000000000004</v>
      </c>
      <c r="Q33" s="92"/>
    </row>
    <row r="34" spans="1:17" hidden="1">
      <c r="C34" s="1"/>
      <c r="D34" s="12"/>
      <c r="E34" s="90"/>
      <c r="F34" s="90"/>
      <c r="G34" s="90"/>
      <c r="H34" s="90"/>
      <c r="I34" s="90"/>
      <c r="J34" s="90"/>
      <c r="K34" s="90"/>
      <c r="L34" s="90"/>
      <c r="M34" s="90"/>
      <c r="N34" s="90"/>
      <c r="O34" s="90"/>
      <c r="P34" s="90"/>
    </row>
    <row r="35" spans="1:17" hidden="1">
      <c r="A35" s="1" t="s">
        <v>3</v>
      </c>
      <c r="C35" s="1"/>
      <c r="D35" s="12"/>
      <c r="E35" s="90"/>
      <c r="F35" s="90"/>
      <c r="G35" s="90"/>
      <c r="H35" s="90"/>
      <c r="I35" s="90"/>
      <c r="J35" s="90"/>
      <c r="K35" s="90"/>
      <c r="L35" s="90"/>
      <c r="M35" s="90"/>
      <c r="N35" s="90"/>
      <c r="O35" s="90"/>
      <c r="P35" s="90"/>
    </row>
    <row r="36" spans="1:17" s="1" customFormat="1">
      <c r="A36" s="1" t="str">
        <f>'Historical P&amp;L'!A32</f>
        <v>Total Warehouse Expenses</v>
      </c>
      <c r="B36" s="1" t="s">
        <v>38</v>
      </c>
      <c r="C36" s="1" t="str">
        <f>VLOOKUP('Proforma P&amp;L'!A36,'Historical P&amp;L'!A:C,3,FALSE)</f>
        <v>Semi-Variable (25%)</v>
      </c>
      <c r="D36" s="18"/>
      <c r="E36" s="90">
        <f t="array" ref="E36">IFERROR(_xlfn.IFS($C36="Fixed",'Historical P&amp;L'!S32,$C36="Variable",('Historical P&amp;L'!S32/'Historical P&amp;L'!S$2)*E$6,$C36="Semi-Variable (75%)",'Historical P&amp;L'!S32+('Historical P&amp;L'!S32/'Historical P&amp;L'!S$2)*(0.75*(E$6-'Historical P&amp;L'!S$2)),$C36="Semi-Variable (50%)",'Historical P&amp;L'!S32+('Historical P&amp;L'!S32/'Historical P&amp;L'!S$2)*(0.5*(E$6-'Historical P&amp;L'!S$2)),$C36="Semi-Variable (25%)",'Historical P&amp;L'!S32+('Historical P&amp;L'!S32/'Historical P&amp;L'!S$2)*(0.25*(E$6-'Historical P&amp;L'!S$2))),0)</f>
        <v>3</v>
      </c>
      <c r="F36" s="90">
        <f t="shared" ref="F36:O36" si="7">IFERROR(_xlfn.IFS($C36="Fixed",E36,$C36="Variable",(E36/E$6)*F$6,$C36="Semi-Variable (75%)",E36+(E36/E$6)*(0.75*(F$6-E$6)),$C36="Semi-Variable (50%)",E36+(E36/E$6)*(0.5*(F$6-E$6)),$C36="Semi-Variable (25%)",E36+(E36/E$6)*(0.25*(F$6-E$6))),0)</f>
        <v>2.85</v>
      </c>
      <c r="G36" s="90">
        <f t="shared" si="7"/>
        <v>2.7253125000000002</v>
      </c>
      <c r="H36" s="90">
        <f t="shared" si="7"/>
        <v>2.4569105113636365</v>
      </c>
      <c r="I36" s="90">
        <f t="shared" si="7"/>
        <v>2.1497966974431817</v>
      </c>
      <c r="J36" s="90">
        <f t="shared" si="7"/>
        <v>2.2035416148792613</v>
      </c>
      <c r="K36" s="90">
        <f t="shared" si="7"/>
        <v>2.6107177828460815</v>
      </c>
      <c r="L36" s="90">
        <f t="shared" si="7"/>
        <v>3.0839103809869339</v>
      </c>
      <c r="M36" s="90">
        <f t="shared" si="7"/>
        <v>3.2919519543074811</v>
      </c>
      <c r="N36" s="90">
        <f t="shared" si="7"/>
        <v>3.4509382702825584</v>
      </c>
      <c r="O36" s="90">
        <f t="shared" si="7"/>
        <v>3.5846621282560074</v>
      </c>
      <c r="P36" s="90">
        <f>IFERROR(_xlfn.IFS($C36="Fixed",O36,$C36="Variable",(O36/O$6)*P$6,$C36="Semi-Variable (75%)",O36+(O36/O$6)*(0.75*(P$6-O$6)),$C36="Semi-Variable (50%)",O36+(O36/O$6)*(0.5*(P$6-O$6)),$C36="Semi-Variable (25%)",O36+(O36/O$6)*(0.25*(P$6-O$6))),0)</f>
        <v>3.5419875791101028</v>
      </c>
    </row>
    <row r="37" spans="1:17" hidden="1">
      <c r="C37" s="1"/>
      <c r="D37" s="12"/>
      <c r="E37" s="90"/>
      <c r="F37" s="90"/>
      <c r="G37" s="90"/>
      <c r="H37" s="90"/>
      <c r="I37" s="90"/>
      <c r="J37" s="90"/>
      <c r="K37" s="90"/>
      <c r="L37" s="90"/>
      <c r="M37" s="90"/>
      <c r="N37" s="90"/>
      <c r="O37" s="90"/>
      <c r="P37" s="90"/>
    </row>
    <row r="38" spans="1:17" hidden="1">
      <c r="A38" s="1" t="s">
        <v>4</v>
      </c>
      <c r="C38" s="1"/>
      <c r="D38" s="12"/>
      <c r="E38" s="90"/>
      <c r="F38" s="90"/>
      <c r="G38" s="90"/>
      <c r="H38" s="90"/>
      <c r="I38" s="90"/>
      <c r="J38" s="90"/>
      <c r="K38" s="90"/>
      <c r="L38" s="90"/>
      <c r="M38" s="90"/>
      <c r="N38" s="90"/>
      <c r="O38" s="90"/>
      <c r="P38" s="90"/>
    </row>
    <row r="39" spans="1:17" s="1" customFormat="1">
      <c r="A39" s="1" t="str">
        <f>'Historical P&amp;L'!A35</f>
        <v>Total Occupancy Expenses</v>
      </c>
      <c r="B39" s="1" t="s">
        <v>38</v>
      </c>
      <c r="C39" s="1" t="str">
        <f>VLOOKUP('Proforma P&amp;L'!A39,'Historical P&amp;L'!A:C,3,FALSE)</f>
        <v>Semi-Variable (25%)</v>
      </c>
      <c r="D39" s="18"/>
      <c r="E39" s="90">
        <f t="array" ref="E39">IFERROR(_xlfn.IFS($C39="Fixed",'Historical P&amp;L'!S35,$C39="Variable",('Historical P&amp;L'!S35/'Historical P&amp;L'!S$2)*E$6,$C39="Semi-Variable (75%)",'Historical P&amp;L'!S35+('Historical P&amp;L'!S35/'Historical P&amp;L'!S$2)*(0.75*(E$6-'Historical P&amp;L'!S$2)),$C39="Semi-Variable (50%)",'Historical P&amp;L'!S35+('Historical P&amp;L'!S35/'Historical P&amp;L'!S$2)*(0.5*(E$6-'Historical P&amp;L'!S$2)),$C39="Semi-Variable (25%)",'Historical P&amp;L'!S35+('Historical P&amp;L'!S35/'Historical P&amp;L'!S$2)*(0.25*(E$6-'Historical P&amp;L'!S$2))),0)</f>
        <v>1</v>
      </c>
      <c r="F39" s="90">
        <f t="shared" ref="F39:O39" si="8">IFERROR(_xlfn.IFS($C39="Fixed",E39,$C39="Variable",(E39/E$6)*F$6,$C39="Semi-Variable (75%)",E39+(E39/E$6)*(0.75*(F$6-E$6)),$C39="Semi-Variable (50%)",E39+(E39/E$6)*(0.5*(F$6-E$6)),$C39="Semi-Variable (25%)",E39+(E39/E$6)*(0.25*(F$6-E$6))),0)</f>
        <v>0.95</v>
      </c>
      <c r="G39" s="90">
        <f t="shared" si="8"/>
        <v>0.9084374999999999</v>
      </c>
      <c r="H39" s="90">
        <f t="shared" si="8"/>
        <v>0.81897017045454534</v>
      </c>
      <c r="I39" s="90">
        <f t="shared" si="8"/>
        <v>0.71659889914772712</v>
      </c>
      <c r="J39" s="90">
        <f t="shared" si="8"/>
        <v>0.73451387162642023</v>
      </c>
      <c r="K39" s="90">
        <f t="shared" si="8"/>
        <v>0.87023926094869353</v>
      </c>
      <c r="L39" s="90">
        <f t="shared" si="8"/>
        <v>1.0279701269956443</v>
      </c>
      <c r="M39" s="90">
        <f t="shared" si="8"/>
        <v>1.0973173181024933</v>
      </c>
      <c r="N39" s="90">
        <f t="shared" si="8"/>
        <v>1.1503127567608524</v>
      </c>
      <c r="O39" s="90">
        <f t="shared" si="8"/>
        <v>1.1948873760853354</v>
      </c>
      <c r="P39" s="90">
        <f>IFERROR(_xlfn.IFS($C39="Fixed",O39,$C39="Variable",(O39/O$6)*P$6,$C39="Semi-Variable (75%)",O39+(O39/O$6)*(0.75*(P$6-O$6)),$C39="Semi-Variable (50%)",O39+(O39/O$6)*(0.5*(P$6-O$6)),$C39="Semi-Variable (25%)",O39+(O39/O$6)*(0.25*(P$6-O$6))),0)</f>
        <v>1.1806625263700339</v>
      </c>
    </row>
    <row r="40" spans="1:17" hidden="1">
      <c r="C40" s="1"/>
      <c r="D40" s="12"/>
      <c r="E40" s="90"/>
      <c r="F40" s="90"/>
      <c r="G40" s="90"/>
      <c r="H40" s="90"/>
      <c r="I40" s="90"/>
      <c r="J40" s="90"/>
      <c r="K40" s="90"/>
      <c r="L40" s="90"/>
      <c r="M40" s="90"/>
      <c r="N40" s="90"/>
      <c r="O40" s="90"/>
      <c r="P40" s="90"/>
    </row>
    <row r="41" spans="1:17" hidden="1">
      <c r="A41" s="1" t="s">
        <v>64</v>
      </c>
      <c r="C41" s="1"/>
      <c r="D41" s="12"/>
      <c r="E41" s="90"/>
      <c r="F41" s="90"/>
      <c r="G41" s="90"/>
      <c r="H41" s="90"/>
      <c r="I41" s="90"/>
      <c r="J41" s="90"/>
      <c r="K41" s="90"/>
      <c r="L41" s="90"/>
      <c r="M41" s="90"/>
      <c r="N41" s="90"/>
      <c r="O41" s="90"/>
      <c r="P41" s="90"/>
    </row>
    <row r="42" spans="1:17" s="1" customFormat="1">
      <c r="A42" s="1" t="str">
        <f>'Historical P&amp;L'!A38</f>
        <v>Total Information Technology Expenses</v>
      </c>
      <c r="B42" s="1" t="s">
        <v>38</v>
      </c>
      <c r="C42" s="1" t="str">
        <f>VLOOKUP('Proforma P&amp;L'!A42,'Historical P&amp;L'!A:C,3,FALSE)</f>
        <v>Semi-Variable (25%)</v>
      </c>
      <c r="D42" s="18"/>
      <c r="E42" s="90">
        <f t="array" ref="E42">IFERROR(_xlfn.IFS($C42="Fixed",'Historical P&amp;L'!S38,$C42="Variable",('Historical P&amp;L'!S38/'Historical P&amp;L'!S$2)*E$6,$C42="Semi-Variable (75%)",'Historical P&amp;L'!S38+('Historical P&amp;L'!S38/'Historical P&amp;L'!S$2)*(0.75*(E$6-'Historical P&amp;L'!S$2)),$C42="Semi-Variable (50%)",'Historical P&amp;L'!S38+('Historical P&amp;L'!S38/'Historical P&amp;L'!S$2)*(0.5*(E$6-'Historical P&amp;L'!S$2)),$C42="Semi-Variable (25%)",'Historical P&amp;L'!S38+('Historical P&amp;L'!S38/'Historical P&amp;L'!S$2)*(0.25*(E$6-'Historical P&amp;L'!S$2))),0)</f>
        <v>2</v>
      </c>
      <c r="F42" s="90">
        <f t="shared" ref="F42:O42" si="9">IFERROR(_xlfn.IFS($C42="Fixed",E42,$C42="Variable",(E42/E$6)*F$6,$C42="Semi-Variable (75%)",E42+(E42/E$6)*(0.75*(F$6-E$6)),$C42="Semi-Variable (50%)",E42+(E42/E$6)*(0.5*(F$6-E$6)),$C42="Semi-Variable (25%)",E42+(E42/E$6)*(0.25*(F$6-E$6))),0)</f>
        <v>1.9</v>
      </c>
      <c r="G42" s="90">
        <f t="shared" si="9"/>
        <v>1.8168749999999998</v>
      </c>
      <c r="H42" s="90">
        <f t="shared" si="9"/>
        <v>1.6379403409090907</v>
      </c>
      <c r="I42" s="90">
        <f t="shared" si="9"/>
        <v>1.4331977982954542</v>
      </c>
      <c r="J42" s="90">
        <f t="shared" si="9"/>
        <v>1.4690277432528405</v>
      </c>
      <c r="K42" s="90">
        <f t="shared" si="9"/>
        <v>1.7404785218973871</v>
      </c>
      <c r="L42" s="90">
        <f t="shared" si="9"/>
        <v>2.0559402539912885</v>
      </c>
      <c r="M42" s="90">
        <f t="shared" si="9"/>
        <v>2.1946346362049867</v>
      </c>
      <c r="N42" s="90">
        <f t="shared" si="9"/>
        <v>2.3006255135217049</v>
      </c>
      <c r="O42" s="90">
        <f t="shared" si="9"/>
        <v>2.3897747521706707</v>
      </c>
      <c r="P42" s="90">
        <f>IFERROR(_xlfn.IFS($C42="Fixed",O42,$C42="Variable",(O42/O$6)*P$6,$C42="Semi-Variable (75%)",O42+(O42/O$6)*(0.75*(P$6-O$6)),$C42="Semi-Variable (50%)",O42+(O42/O$6)*(0.5*(P$6-O$6)),$C42="Semi-Variable (25%)",O42+(O42/O$6)*(0.25*(P$6-O$6))),0)</f>
        <v>2.3613250527400678</v>
      </c>
    </row>
    <row r="43" spans="1:17" hidden="1">
      <c r="C43" s="1"/>
      <c r="D43" s="12"/>
      <c r="E43" s="90"/>
      <c r="F43" s="90"/>
      <c r="G43" s="90"/>
      <c r="H43" s="90"/>
      <c r="I43" s="90"/>
      <c r="J43" s="90"/>
      <c r="K43" s="90"/>
      <c r="L43" s="90"/>
      <c r="M43" s="90"/>
      <c r="N43" s="90"/>
      <c r="O43" s="90"/>
      <c r="P43" s="90"/>
    </row>
    <row r="44" spans="1:17" hidden="1">
      <c r="A44" s="1" t="s">
        <v>0</v>
      </c>
      <c r="C44" s="1"/>
      <c r="D44" s="12"/>
      <c r="E44" s="90"/>
      <c r="F44" s="90"/>
      <c r="G44" s="90"/>
      <c r="H44" s="90"/>
      <c r="I44" s="90"/>
      <c r="J44" s="90"/>
      <c r="K44" s="90"/>
      <c r="L44" s="90"/>
      <c r="M44" s="90"/>
      <c r="N44" s="90"/>
      <c r="O44" s="90"/>
      <c r="P44" s="90"/>
    </row>
    <row r="45" spans="1:17" s="1" customFormat="1">
      <c r="A45" s="1" t="str">
        <f>'Historical P&amp;L'!A41</f>
        <v>Total General &amp; Administrative Expenses</v>
      </c>
      <c r="B45" s="1" t="s">
        <v>38</v>
      </c>
      <c r="C45" s="1" t="str">
        <f>VLOOKUP('Proforma P&amp;L'!A45,'Historical P&amp;L'!A:C,3,FALSE)</f>
        <v>Semi-Variable (25%)</v>
      </c>
      <c r="D45" s="18"/>
      <c r="E45" s="90">
        <f t="array" ref="E45">IFERROR(_xlfn.IFS($C45="Fixed",'Historical P&amp;L'!S41,$C45="Variable",('Historical P&amp;L'!S41/'Historical P&amp;L'!S$2)*E$6,$C45="Semi-Variable (75%)",'Historical P&amp;L'!S41+('Historical P&amp;L'!S41/'Historical P&amp;L'!S$2)*(0.75*(E$6-'Historical P&amp;L'!S$2)),$C45="Semi-Variable (50%)",'Historical P&amp;L'!S41+('Historical P&amp;L'!S41/'Historical P&amp;L'!S$2)*(0.5*(E$6-'Historical P&amp;L'!S$2)),$C45="Semi-Variable (25%)",'Historical P&amp;L'!S41+('Historical P&amp;L'!S41/'Historical P&amp;L'!S$2)*(0.25*(E$6-'Historical P&amp;L'!S$2))),0)</f>
        <v>3</v>
      </c>
      <c r="F45" s="90">
        <f t="shared" ref="F45:O45" si="10">IFERROR(_xlfn.IFS($C45="Fixed",E45,$C45="Variable",(E45/E$6)*F$6,$C45="Semi-Variable (75%)",E45+(E45/E$6)*(0.75*(F$6-E$6)),$C45="Semi-Variable (50%)",E45+(E45/E$6)*(0.5*(F$6-E$6)),$C45="Semi-Variable (25%)",E45+(E45/E$6)*(0.25*(F$6-E$6))),0)</f>
        <v>2.85</v>
      </c>
      <c r="G45" s="90">
        <f t="shared" si="10"/>
        <v>2.7253125000000002</v>
      </c>
      <c r="H45" s="90">
        <f t="shared" si="10"/>
        <v>2.4569105113636365</v>
      </c>
      <c r="I45" s="90">
        <f t="shared" si="10"/>
        <v>2.1497966974431817</v>
      </c>
      <c r="J45" s="90">
        <f t="shared" si="10"/>
        <v>2.2035416148792613</v>
      </c>
      <c r="K45" s="90">
        <f t="shared" si="10"/>
        <v>2.6107177828460815</v>
      </c>
      <c r="L45" s="90">
        <f t="shared" si="10"/>
        <v>3.0839103809869339</v>
      </c>
      <c r="M45" s="90">
        <f t="shared" si="10"/>
        <v>3.2919519543074811</v>
      </c>
      <c r="N45" s="90">
        <f t="shared" si="10"/>
        <v>3.4509382702825584</v>
      </c>
      <c r="O45" s="90">
        <f t="shared" si="10"/>
        <v>3.5846621282560074</v>
      </c>
      <c r="P45" s="90">
        <f>IFERROR(_xlfn.IFS($C45="Fixed",O45,$C45="Variable",(O45/O$6)*P$6,$C45="Semi-Variable (75%)",O45+(O45/O$6)*(0.75*(P$6-O$6)),$C45="Semi-Variable (50%)",O45+(O45/O$6)*(0.5*(P$6-O$6)),$C45="Semi-Variable (25%)",O45+(O45/O$6)*(0.25*(P$6-O$6))),0)</f>
        <v>3.5419875791101028</v>
      </c>
    </row>
    <row r="46" spans="1:17">
      <c r="A46" t="s">
        <v>14</v>
      </c>
      <c r="C46" s="1"/>
      <c r="D46" s="12"/>
      <c r="E46" s="86"/>
      <c r="F46" s="86"/>
      <c r="G46" s="86"/>
      <c r="H46" s="86"/>
      <c r="I46" s="86"/>
      <c r="J46" s="86"/>
      <c r="K46" s="86"/>
      <c r="L46" s="86"/>
      <c r="M46" s="86"/>
      <c r="N46" s="86"/>
      <c r="O46" s="86"/>
      <c r="P46" s="86"/>
    </row>
    <row r="47" spans="1:17" s="1" customFormat="1">
      <c r="A47" s="1" t="s">
        <v>24</v>
      </c>
      <c r="B47" s="1" t="s">
        <v>38</v>
      </c>
      <c r="D47" s="18"/>
      <c r="E47" s="85">
        <f t="shared" ref="E47:M47" si="11">E30+E33+E36+E39+E42+E45</f>
        <v>18</v>
      </c>
      <c r="F47" s="85">
        <f t="shared" si="11"/>
        <v>16.25</v>
      </c>
      <c r="G47" s="85">
        <f t="shared" si="11"/>
        <v>14.9221875</v>
      </c>
      <c r="H47" s="85">
        <f t="shared" si="11"/>
        <v>12.268174715909092</v>
      </c>
      <c r="I47" s="85">
        <f t="shared" si="11"/>
        <v>9.7224724786931809</v>
      </c>
      <c r="J47" s="85">
        <f t="shared" si="11"/>
        <v>10.0873613503196</v>
      </c>
      <c r="K47" s="85">
        <f t="shared" si="11"/>
        <v>12.918988128058995</v>
      </c>
      <c r="L47" s="85">
        <f t="shared" si="11"/>
        <v>16.737326138753474</v>
      </c>
      <c r="M47" s="85">
        <f t="shared" si="11"/>
        <v>18.727602564496667</v>
      </c>
      <c r="N47" s="85">
        <f>N30+N33+N36+N39+N42+N45</f>
        <v>20.383369297178938</v>
      </c>
      <c r="O47" s="85">
        <f>O30+O33+O36+O39+O42+O45</f>
        <v>21.871908843789953</v>
      </c>
      <c r="P47" s="85">
        <f>P30+P33+P36+P39+P42+P45</f>
        <v>21.369172756851722</v>
      </c>
      <c r="Q47" s="91"/>
    </row>
    <row r="48" spans="1:17">
      <c r="C48" s="1"/>
      <c r="D48" s="12"/>
      <c r="E48" s="87"/>
      <c r="F48" s="87"/>
      <c r="G48" s="87"/>
      <c r="H48" s="87"/>
      <c r="I48" s="87"/>
      <c r="J48" s="87"/>
      <c r="K48" s="87"/>
      <c r="L48" s="87"/>
      <c r="M48" s="87"/>
      <c r="N48" s="87"/>
      <c r="O48" s="87"/>
      <c r="P48" s="87"/>
    </row>
    <row r="49" spans="1:19" hidden="1">
      <c r="A49" s="1" t="s">
        <v>32</v>
      </c>
      <c r="C49" s="1"/>
      <c r="D49" s="12"/>
      <c r="E49" s="86"/>
      <c r="F49" s="86"/>
      <c r="G49" s="86"/>
      <c r="H49" s="86"/>
      <c r="I49" s="86"/>
      <c r="J49" s="86"/>
      <c r="K49" s="86"/>
      <c r="L49" s="86"/>
      <c r="M49" s="86"/>
      <c r="N49" s="86"/>
      <c r="O49" s="86"/>
      <c r="P49" s="86"/>
    </row>
    <row r="50" spans="1:19" s="1" customFormat="1">
      <c r="A50" s="1" t="s">
        <v>39</v>
      </c>
      <c r="B50" s="1" t="s">
        <v>38</v>
      </c>
      <c r="C50" s="1" t="str">
        <f>VLOOKUP('Proforma P&amp;L'!A50,'Historical P&amp;L'!A:C,3,FALSE)</f>
        <v>Fixed</v>
      </c>
      <c r="D50" s="18"/>
      <c r="E50" s="85">
        <f t="array" ref="E50">IFERROR(_xlfn.IFS($C50="Fixed",'Historical P&amp;L'!S46,$C50="Variable",('Historical P&amp;L'!S46/'Historical P&amp;L'!S$2)*E$6,$C50="Semi-Variable (75%)",'Historical P&amp;L'!S46+('Historical P&amp;L'!S46/'Historical P&amp;L'!S$2)*(0.75*(E$6-'Historical P&amp;L'!S$2)),$C50="Semi-Variable (50%)",'Historical P&amp;L'!S46+('Historical P&amp;L'!S46/'Historical P&amp;L'!S$2)*(0.5*(E$6-'Historical P&amp;L'!S$2)),$C50="Semi-Variable (25%)",'Historical P&amp;L'!S46+('Historical P&amp;L'!S46/'Historical P&amp;L'!S$2)*(0.25*(E$6-'Historical P&amp;L'!S$2))),0)</f>
        <v>-1</v>
      </c>
      <c r="F50" s="85">
        <f t="shared" ref="F50:O50" si="12">IFERROR(_xlfn.IFS($C50="Fixed",E50,$C50="Variable",(E50/E$6)*F$6,$C50="Semi-Variable (75%)",E50+(E50/E$6)*(0.75*(F$6-E$6)),$C50="Semi-Variable (50%)",E50+(E50/E$6)*(0.5*(F$6-E$6)),$C50="Semi-Variable (25%)",E50+(E50/E$6)*(0.25*(F$6-E$6))),0)</f>
        <v>-1</v>
      </c>
      <c r="G50" s="85">
        <f t="shared" si="12"/>
        <v>-1</v>
      </c>
      <c r="H50" s="85">
        <f t="shared" si="12"/>
        <v>-1</v>
      </c>
      <c r="I50" s="85">
        <f t="shared" si="12"/>
        <v>-1</v>
      </c>
      <c r="J50" s="85">
        <f t="shared" si="12"/>
        <v>-1</v>
      </c>
      <c r="K50" s="85">
        <f t="shared" si="12"/>
        <v>-1</v>
      </c>
      <c r="L50" s="85">
        <f t="shared" si="12"/>
        <v>-1</v>
      </c>
      <c r="M50" s="85">
        <f t="shared" si="12"/>
        <v>-1</v>
      </c>
      <c r="N50" s="85">
        <f t="shared" si="12"/>
        <v>-1</v>
      </c>
      <c r="O50" s="85">
        <f t="shared" si="12"/>
        <v>-1</v>
      </c>
      <c r="P50" s="85">
        <f>IFERROR(_xlfn.IFS($C50="Fixed",O50,$C50="Variable",(O50/O$6)*P$6,$C50="Semi-Variable (75%)",O50+(O50/O$6)*(0.75*(P$6-O$6)),$C50="Semi-Variable (50%)",O50+(O50/O$6)*(0.5*(P$6-O$6)),$C50="Semi-Variable (25%)",O50+(O50/O$6)*(0.25*(P$6-O$6))),0)</f>
        <v>-1</v>
      </c>
    </row>
    <row r="51" spans="1:19" s="1" customFormat="1">
      <c r="D51" s="18"/>
      <c r="E51" s="85"/>
      <c r="F51" s="85"/>
      <c r="G51" s="85"/>
      <c r="H51" s="85"/>
      <c r="I51" s="85"/>
      <c r="J51" s="85"/>
      <c r="K51" s="85"/>
      <c r="L51" s="85"/>
      <c r="M51" s="85"/>
      <c r="N51" s="85"/>
      <c r="O51" s="85"/>
      <c r="P51" s="85"/>
    </row>
    <row r="52" spans="1:19">
      <c r="C52" s="1"/>
      <c r="D52" s="12"/>
      <c r="E52" s="86"/>
      <c r="F52" s="86"/>
      <c r="G52" s="86"/>
      <c r="H52" s="86"/>
      <c r="I52" s="86"/>
      <c r="J52" s="86"/>
      <c r="K52" s="86"/>
      <c r="L52" s="86"/>
      <c r="M52" s="86"/>
      <c r="N52" s="86"/>
      <c r="O52" s="86"/>
      <c r="P52" s="86"/>
    </row>
    <row r="53" spans="1:19" s="1" customFormat="1" ht="15" thickBot="1">
      <c r="A53" s="1" t="s">
        <v>60</v>
      </c>
      <c r="B53" s="1" t="s">
        <v>38</v>
      </c>
      <c r="D53" s="19"/>
      <c r="E53" s="85">
        <f t="shared" ref="E53:M53" si="13">E25-E47+E50</f>
        <v>3.0000000000000036</v>
      </c>
      <c r="F53" s="85">
        <f t="shared" si="13"/>
        <v>-1.25</v>
      </c>
      <c r="G53" s="85">
        <f t="shared" si="13"/>
        <v>-1.4021875000000001</v>
      </c>
      <c r="H53" s="85">
        <f t="shared" si="13"/>
        <v>-4.4681747159090897</v>
      </c>
      <c r="I53" s="85">
        <f t="shared" si="13"/>
        <v>-6.5224724786931807</v>
      </c>
      <c r="J53" s="85">
        <f t="shared" si="13"/>
        <v>-6.4673613503196004</v>
      </c>
      <c r="K53" s="85">
        <f t="shared" si="13"/>
        <v>-5.5015968237111696</v>
      </c>
      <c r="L53" s="85">
        <f t="shared" si="13"/>
        <v>-4.5373261387534747</v>
      </c>
      <c r="M53" s="85">
        <f t="shared" si="13"/>
        <v>-1.2895073264014272</v>
      </c>
      <c r="N53" s="85">
        <f>N25-N47+N50</f>
        <v>-1.383369297178934</v>
      </c>
      <c r="O53" s="85">
        <f>O25-O47+O50</f>
        <v>0.2280911562100485</v>
      </c>
      <c r="P53" s="85">
        <f>P25-P47+P50</f>
        <v>2.9308272431482862</v>
      </c>
    </row>
    <row r="54" spans="1:19" ht="15" thickBot="1">
      <c r="A54" s="1" t="s">
        <v>80</v>
      </c>
      <c r="B54" s="1" t="s">
        <v>38</v>
      </c>
      <c r="C54" s="1"/>
      <c r="D54" s="19"/>
      <c r="E54" s="17">
        <f t="shared" ref="E54:P54" si="14">E53/E14</f>
        <v>3.000000000000003E-2</v>
      </c>
      <c r="F54" s="17">
        <f t="shared" si="14"/>
        <v>-1.7187499999999998E-2</v>
      </c>
      <c r="G54" s="17">
        <f t="shared" si="14"/>
        <v>-2.1245265151515154E-2</v>
      </c>
      <c r="H54" s="17">
        <f t="shared" si="14"/>
        <v>-0.11170436789772722</v>
      </c>
      <c r="I54" s="17">
        <f t="shared" si="14"/>
        <v>-0.3416533203124999</v>
      </c>
      <c r="J54" s="17">
        <f t="shared" si="14"/>
        <v>-0.30796958811045716</v>
      </c>
      <c r="K54" s="17">
        <f t="shared" si="14"/>
        <v>-0.14379173516517829</v>
      </c>
      <c r="L54" s="17">
        <f t="shared" si="14"/>
        <v>-7.5622102312557907E-2</v>
      </c>
      <c r="M54" s="17">
        <f t="shared" si="14"/>
        <v>-1.5386166962744301E-2</v>
      </c>
      <c r="N54" s="17">
        <f t="shared" si="14"/>
        <v>-1.5217062268968271E-2</v>
      </c>
      <c r="O54" s="17">
        <f t="shared" si="14"/>
        <v>2.1722967258099857E-3</v>
      </c>
      <c r="P54" s="17">
        <f t="shared" si="14"/>
        <v>2.5485454288245959E-2</v>
      </c>
      <c r="Q54" s="17"/>
      <c r="R54" s="17"/>
      <c r="S54" s="17"/>
    </row>
    <row r="55" spans="1:19">
      <c r="C55" s="1" t="s">
        <v>14</v>
      </c>
      <c r="O55" t="s">
        <v>14</v>
      </c>
    </row>
    <row r="56" spans="1:19">
      <c r="C56" s="1"/>
    </row>
    <row r="57" spans="1:19">
      <c r="C57" s="1"/>
    </row>
    <row r="58" spans="1:19">
      <c r="C58" s="1"/>
    </row>
    <row r="59" spans="1:19">
      <c r="C59" s="1"/>
    </row>
    <row r="60" spans="1:19">
      <c r="C60" s="1"/>
    </row>
    <row r="61" spans="1:19">
      <c r="C61" s="1"/>
    </row>
    <row r="62" spans="1:19">
      <c r="C62" s="1"/>
    </row>
    <row r="63" spans="1:19">
      <c r="C63" s="1"/>
    </row>
  </sheetData>
  <mergeCells count="3">
    <mergeCell ref="E1:P1"/>
    <mergeCell ref="E8:P8"/>
    <mergeCell ref="A1:A4"/>
  </mergeCells>
  <conditionalFormatting sqref="E54:P54">
    <cfRule type="cellIs" dxfId="0"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C8E5-EDF6-45D8-9F0B-EADC9F57C458}">
  <dimension ref="A1:Q61"/>
  <sheetViews>
    <sheetView zoomScale="80" zoomScaleNormal="80" workbookViewId="0">
      <pane xSplit="2" topLeftCell="C1" activePane="topRight" state="frozen"/>
      <selection pane="topRight" activeCell="F3" sqref="F3"/>
    </sheetView>
  </sheetViews>
  <sheetFormatPr defaultRowHeight="14.4"/>
  <cols>
    <col min="1" max="1" width="53.88671875" customWidth="1"/>
    <col min="2" max="2" width="1.33203125" style="37" customWidth="1"/>
    <col min="3" max="15" width="10.88671875" style="43" customWidth="1"/>
  </cols>
  <sheetData>
    <row r="1" spans="1:17" ht="32.25" customHeight="1">
      <c r="A1" s="106" t="s">
        <v>152</v>
      </c>
      <c r="C1" s="40"/>
      <c r="D1" s="100"/>
      <c r="E1" s="100"/>
      <c r="F1" s="100"/>
      <c r="G1" s="100"/>
      <c r="H1" s="100"/>
      <c r="I1" s="100"/>
      <c r="J1" s="100"/>
      <c r="K1" s="100"/>
      <c r="L1" s="100"/>
      <c r="M1" s="100"/>
      <c r="N1" s="100"/>
      <c r="O1" s="100"/>
    </row>
    <row r="2" spans="1:17">
      <c r="B2" s="45"/>
      <c r="C2" s="99"/>
      <c r="D2" s="99"/>
      <c r="E2" s="99"/>
      <c r="F2" s="99"/>
      <c r="G2" s="99"/>
      <c r="H2" s="99"/>
      <c r="I2" s="99"/>
      <c r="J2" s="99"/>
      <c r="K2" s="99"/>
      <c r="L2" s="99"/>
      <c r="M2" s="99"/>
      <c r="N2" s="99"/>
      <c r="O2" s="99"/>
    </row>
    <row r="3" spans="1:17">
      <c r="B3" s="45"/>
      <c r="C3" s="41"/>
      <c r="D3" s="44"/>
      <c r="E3" s="97"/>
      <c r="F3" s="97"/>
      <c r="G3" s="97"/>
      <c r="H3" s="98"/>
      <c r="I3" s="41"/>
      <c r="J3" s="41"/>
      <c r="K3" s="41"/>
      <c r="L3" s="41"/>
      <c r="M3" s="41"/>
      <c r="N3" s="41"/>
      <c r="O3" s="41"/>
    </row>
    <row r="4" spans="1:17">
      <c r="B4" s="45"/>
      <c r="C4" s="96"/>
      <c r="D4" s="96"/>
      <c r="E4" s="96"/>
      <c r="F4" s="96"/>
      <c r="G4" s="96"/>
      <c r="H4" s="96"/>
      <c r="I4" s="96"/>
      <c r="J4" s="96"/>
      <c r="K4" s="96"/>
      <c r="L4" s="96"/>
      <c r="M4" s="96"/>
      <c r="N4" s="96"/>
      <c r="O4" s="96"/>
    </row>
    <row r="5" spans="1:17">
      <c r="B5" s="45"/>
      <c r="C5" s="105">
        <v>43890</v>
      </c>
      <c r="D5" s="105">
        <v>43921</v>
      </c>
      <c r="E5" s="105">
        <v>43951</v>
      </c>
      <c r="F5" s="105">
        <v>43982</v>
      </c>
      <c r="G5" s="105">
        <v>44012</v>
      </c>
      <c r="H5" s="105">
        <v>44043</v>
      </c>
      <c r="I5" s="105">
        <v>44074</v>
      </c>
      <c r="J5" s="105">
        <v>44104</v>
      </c>
      <c r="K5" s="105">
        <v>44135</v>
      </c>
      <c r="L5" s="105">
        <v>44165</v>
      </c>
      <c r="M5" s="105">
        <v>44196</v>
      </c>
      <c r="N5" s="105">
        <v>44227</v>
      </c>
      <c r="O5" s="105">
        <v>44255</v>
      </c>
      <c r="Q5" s="86"/>
    </row>
    <row r="6" spans="1:17">
      <c r="A6" t="s">
        <v>51</v>
      </c>
      <c r="C6" s="94">
        <v>10</v>
      </c>
      <c r="D6" s="95">
        <f>C6+_xlfn.IFS(($C$7/'Historical P&amp;L'!$R$10)&lt;=1,(($C$7/'Historical P&amp;L'!$R$10)*'Historical P&amp;L'!R10)+(1-($C$7/'Historical P&amp;L'!$R$10))*'Historical P&amp;L'!S10,AND(($C$7/'Historical P&amp;L'!$R$10)&gt;1,($C$7/'Historical P&amp;L'!$R$10)&lt;=2),(($C$7/'Historical P&amp;L'!$R$10)-1)*'Historical P&amp;L'!Q10+(2-($C$7/'Historical P&amp;L'!$R$10))*'Historical P&amp;L'!R10,($C$7/'Historical P&amp;L'!$R$10)&gt;2,((($C$7/'Historical P&amp;L'!$R$10)-2)*'Historical P&amp;L'!P10)+((3-($C$7/'Historical P&amp;L'!$R$10))*'Historical P&amp;L'!Q10))+D9-_xlfn.IFS(($C$11/'Historical P&amp;L'!$R$19)&lt;=1,(($C$11/'Historical P&amp;L'!$R$19)*'Historical P&amp;L'!R14)+((1-($C$11/'Historical P&amp;L'!$R$19))*'Historical P&amp;L'!S14)+(($C$11/'Historical P&amp;L'!$R$19)*'Historical P&amp;L'!R13*(MAX(('Historical P&amp;L'!S13/'Historical P&amp;L'!R13),0)))+((1-($C$11/'Historical P&amp;L'!$R$19))*'Historical P&amp;L'!S13*(MAX(('Historical P&amp;L'!T13/'Historical P&amp;L'!S13),0))),AND(($C$11/'Historical P&amp;L'!$R$19)&gt;1,($C$11/'Historical P&amp;L'!$R$19)&lt;=2),((($C$11/'Historical P&amp;L'!$R$19)-1)*'Historical P&amp;L'!Q14)+((2-($C$11/'Historical P&amp;L'!$R$19))*'Historical P&amp;L'!R14)+((($C$11/'Historical P&amp;L'!$R$19)-1)*'Historical P&amp;L'!Q13*(MAX(('Historical P&amp;L'!R13/'Historical P&amp;L'!Q13),0)))+((2-($C$11/'Historical P&amp;L'!$R$19))*'Historical P&amp;L'!R13*(MAX(('Historical P&amp;L'!S13/'Historical P&amp;L'!R13),0))),($C$11/'Historical P&amp;L'!$R$19)&gt;2,(((($C$11/'Historical P&amp;L'!$R$19)-2)*'Historical P&amp;L'!P14)+((3-($C$11/'Historical P&amp;L'!$R$19))*'Historical P&amp;L'!Q14)+(((($C$11/'Historical P&amp;L'!$R$19)-2))*'Historical P&amp;L'!P13*MAX(('Historical P&amp;L'!Q13/'Historical P&amp;L'!P13),0))+((3-($C$11/'Historical P&amp;L'!$R$19))*'Historical P&amp;L'!Q13*MAX(('Historical P&amp;L'!R13/'Historical P&amp;L'!Q13),0))))-D13-D14-D15-('Historical P&amp;L'!S21-'Historical P&amp;L'!S48)</f>
        <v>13</v>
      </c>
      <c r="E6" s="95">
        <f>D6+_xlfn.IFS(($C$7/'Historical P&amp;L'!$R$10)&lt;=1,(($C$7/'Historical P&amp;L'!$R$10)*'Historical P&amp;L'!S10)+(1-($C$7/'Historical P&amp;L'!$R$10))*'Historical P&amp;L'!T10,AND(($C$7/'Historical P&amp;L'!$R$10)&gt;1,($C$7/'Historical P&amp;L'!$R$10)&lt;=2),(($C$7/'Historical P&amp;L'!$R$10)-1)*'Historical P&amp;L'!R10+(2-($C$7/'Historical P&amp;L'!$R$10))*'Historical P&amp;L'!S10,($C$7/'Historical P&amp;L'!$R$10)&gt;2,((($C$7/'Historical P&amp;L'!$R$10)-2)*'Historical P&amp;L'!Q10)+((3-($C$7/'Historical P&amp;L'!$R$10))*'Historical P&amp;L'!R10))+E9-_xlfn.IFS(($C$11/'Historical P&amp;L'!$R$19)&lt;=1,(($C$11/'Historical P&amp;L'!$R$19)*'Historical P&amp;L'!S14)+((1-($C$11/'Historical P&amp;L'!$R$19))*'Historical P&amp;L'!T14)+(($C$11/'Historical P&amp;L'!$R$19)*'Historical P&amp;L'!S13*(MAX(('Historical P&amp;L'!T13/'Historical P&amp;L'!S13),0)))+((1-($C$11/'Historical P&amp;L'!$R$19))*'Historical P&amp;L'!T13*(MAX(('Historical P&amp;L'!U13/'Historical P&amp;L'!T13),0))),AND(($C$11/'Historical P&amp;L'!$R$19)&gt;1,($C$11/'Historical P&amp;L'!$R$19)&lt;=2),((($C$11/'Historical P&amp;L'!$R$19)-1)*'Historical P&amp;L'!R14)+((2-($C$11/'Historical P&amp;L'!$R$19))*'Historical P&amp;L'!S14)+((($C$11/'Historical P&amp;L'!$R$19)-1)*'Historical P&amp;L'!R13*(MAX(('Historical P&amp;L'!S13/'Historical P&amp;L'!R13),0)))+((2-($C$11/'Historical P&amp;L'!$R$19))*'Historical P&amp;L'!S13*(MAX(('Historical P&amp;L'!T13/'Historical P&amp;L'!S13),0))),($C$11/'Historical P&amp;L'!$R$19)&gt;2,(((($C$11/'Historical P&amp;L'!$R$19)-2)*'Historical P&amp;L'!Q14)+((3-($C$11/'Historical P&amp;L'!$R$19))*'Historical P&amp;L'!R14)+(((($C$11/'Historical P&amp;L'!$R$19)-2))*'Historical P&amp;L'!Q13*MAX(('Historical P&amp;L'!R13/'Historical P&amp;L'!Q13),0))+((3-($C$11/'Historical P&amp;L'!$R$19))*'Historical P&amp;L'!R13*MAX(('Historical P&amp;L'!S13/'Historical P&amp;L'!R13),0))))-E13-E14-E15-('Historical P&amp;L'!T21-'Historical P&amp;L'!T48)</f>
        <v>15.999999999999986</v>
      </c>
      <c r="F6" s="95">
        <f>E6+_xlfn.IFS(($C$7/'Historical P&amp;L'!$R$10)&lt;=1,(($C$7/'Historical P&amp;L'!$R$10)*'Historical P&amp;L'!T10)+(1-($C$7/'Historical P&amp;L'!$R$10))*'Historical P&amp;L'!U10,AND(($C$7/'Historical P&amp;L'!$R$10)&gt;1,($C$7/'Historical P&amp;L'!$R$10)&lt;=2),(($C$7/'Historical P&amp;L'!$R$10)-1)*'Historical P&amp;L'!S10+(2-($C$7/'Historical P&amp;L'!$R$10))*'Historical P&amp;L'!T10,($C$7/'Historical P&amp;L'!$R$10)&gt;2,((($C$7/'Historical P&amp;L'!$R$10)-2)*'Historical P&amp;L'!R10)+((3-($C$7/'Historical P&amp;L'!$R$10))*'Historical P&amp;L'!S10))+F9-_xlfn.IFS(($C$11/'Historical P&amp;L'!$R$19)&lt;=1,(($C$11/'Historical P&amp;L'!$R$19)*'Historical P&amp;L'!T14)+((1-($C$11/'Historical P&amp;L'!$R$19))*'Historical P&amp;L'!U14)+(($C$11/'Historical P&amp;L'!$R$19)*'Historical P&amp;L'!T13*(MAX(('Historical P&amp;L'!U13/'Historical P&amp;L'!T13),0)))+((1-($C$11/'Historical P&amp;L'!$R$19))*'Historical P&amp;L'!U13*(MAX(('Historical P&amp;L'!V13/'Historical P&amp;L'!U13),0))),AND(($C$11/'Historical P&amp;L'!$R$19)&gt;1,($C$11/'Historical P&amp;L'!$R$19)&lt;=2),((($C$11/'Historical P&amp;L'!$R$19)-1)*'Historical P&amp;L'!S14)+((2-($C$11/'Historical P&amp;L'!$R$19))*'Historical P&amp;L'!T14)+((($C$11/'Historical P&amp;L'!$R$19)-1)*'Historical P&amp;L'!S13*(MAX(('Historical P&amp;L'!T13/'Historical P&amp;L'!S13),0)))+((2-($C$11/'Historical P&amp;L'!$R$19))*'Historical P&amp;L'!T13*(MAX(('Historical P&amp;L'!U13/'Historical P&amp;L'!T13),0))),($C$11/'Historical P&amp;L'!$R$19)&gt;2,(((($C$11/'Historical P&amp;L'!$R$19)-2)*'Historical P&amp;L'!R14)+((3-($C$11/'Historical P&amp;L'!$R$19))*'Historical P&amp;L'!S14)+(((($C$11/'Historical P&amp;L'!$R$19)-2))*'Historical P&amp;L'!R13*MAX(('Historical P&amp;L'!S13/'Historical P&amp;L'!R13),0))+((3-($C$11/'Historical P&amp;L'!$R$19))*'Historical P&amp;L'!S13*MAX(('Historical P&amp;L'!T13/'Historical P&amp;L'!S13),0))))-F13-F14-F15-('Historical P&amp;L'!U21-'Historical P&amp;L'!U48)</f>
        <v>36.694055944055918</v>
      </c>
      <c r="G6" s="95">
        <f>F6+_xlfn.IFS(($C$7/'Historical P&amp;L'!$R$10)&lt;=1,(($C$7/'Historical P&amp;L'!$R$10)*'Historical P&amp;L'!U10)+(1-($C$7/'Historical P&amp;L'!$R$10))*'Historical P&amp;L'!V10,AND(($C$7/'Historical P&amp;L'!$R$10)&gt;1,($C$7/'Historical P&amp;L'!$R$10)&lt;=2),(($C$7/'Historical P&amp;L'!$R$10)-1)*'Historical P&amp;L'!T10+(2-($C$7/'Historical P&amp;L'!$R$10))*'Historical P&amp;L'!U10,($C$7/'Historical P&amp;L'!$R$10)&gt;2,((($C$7/'Historical P&amp;L'!$R$10)-2)*'Historical P&amp;L'!S10)+((3-($C$7/'Historical P&amp;L'!$R$10))*'Historical P&amp;L'!T10))+G9-_xlfn.IFS(($C$11/'Historical P&amp;L'!$R$19)&lt;=1,(($C$11/'Historical P&amp;L'!$R$19)*'Historical P&amp;L'!U14)+((1-($C$11/'Historical P&amp;L'!$R$19))*'Historical P&amp;L'!V14)+(($C$11/'Historical P&amp;L'!$R$19)*'Historical P&amp;L'!U13*(MAX(('Historical P&amp;L'!V13/'Historical P&amp;L'!U13),0)))+((1-($C$11/'Historical P&amp;L'!$R$19))*'Historical P&amp;L'!V13*(MAX(('Historical P&amp;L'!W13/'Historical P&amp;L'!V13),0))),AND(($C$11/'Historical P&amp;L'!$R$19)&gt;1,($C$11/'Historical P&amp;L'!$R$19)&lt;=2),((($C$11/'Historical P&amp;L'!$R$19)-1)*'Historical P&amp;L'!T14)+((2-($C$11/'Historical P&amp;L'!$R$19))*'Historical P&amp;L'!U14)+((($C$11/'Historical P&amp;L'!$R$19)-1)*'Historical P&amp;L'!T13*(MAX(('Historical P&amp;L'!U13/'Historical P&amp;L'!T13),0)))+((2-($C$11/'Historical P&amp;L'!$R$19))*'Historical P&amp;L'!U13*(MAX(('Historical P&amp;L'!V13/'Historical P&amp;L'!U13),0))),($C$11/'Historical P&amp;L'!$R$19)&gt;2,(((($C$11/'Historical P&amp;L'!$R$19)-2)*'Historical P&amp;L'!S14)+((3-($C$11/'Historical P&amp;L'!$R$19))*'Historical P&amp;L'!T14)+(((($C$11/'Historical P&amp;L'!$R$19)-2))*'Historical P&amp;L'!S13*MAX(('Historical P&amp;L'!T13/'Historical P&amp;L'!S13),0))+((3-($C$11/'Historical P&amp;L'!$R$19))*'Historical P&amp;L'!T13*MAX(('Historical P&amp;L'!U13/'Historical P&amp;L'!T13),0))))-G13-G14-G15-('Historical P&amp;L'!V21-'Historical P&amp;L'!V48)</f>
        <v>54.21522508741257</v>
      </c>
      <c r="H6" s="95">
        <f>G6+_xlfn.IFS(($C$7/'Historical P&amp;L'!$R$10)&lt;=1,(($C$7/'Historical P&amp;L'!$R$10)*'Historical P&amp;L'!V10)+(1-($C$7/'Historical P&amp;L'!$R$10))*'Historical P&amp;L'!W10,AND(($C$7/'Historical P&amp;L'!$R$10)&gt;1,($C$7/'Historical P&amp;L'!$R$10)&lt;=2),(($C$7/'Historical P&amp;L'!$R$10)-1)*'Historical P&amp;L'!U10+(2-($C$7/'Historical P&amp;L'!$R$10))*'Historical P&amp;L'!V10,($C$7/'Historical P&amp;L'!$R$10)&gt;2,((($C$7/'Historical P&amp;L'!$R$10)-2)*'Historical P&amp;L'!T10)+((3-($C$7/'Historical P&amp;L'!$R$10))*'Historical P&amp;L'!U10))+H9-_xlfn.IFS(($C$11/'Historical P&amp;L'!$R$19)&lt;=1,(($C$11/'Historical P&amp;L'!$R$19)*'Historical P&amp;L'!V14)+((1-($C$11/'Historical P&amp;L'!$R$19))*'Historical P&amp;L'!W14)+(($C$11/'Historical P&amp;L'!$R$19)*'Historical P&amp;L'!V13*(MAX(('Historical P&amp;L'!W13/'Historical P&amp;L'!V13),0)))+((1-($C$11/'Historical P&amp;L'!$R$19))*'Historical P&amp;L'!W13*(MAX(('Historical P&amp;L'!X13/'Historical P&amp;L'!W13),0))),AND(($C$11/'Historical P&amp;L'!$R$19)&gt;1,($C$11/'Historical P&amp;L'!$R$19)&lt;=2),((($C$11/'Historical P&amp;L'!$R$19)-1)*'Historical P&amp;L'!U14)+((2-($C$11/'Historical P&amp;L'!$R$19))*'Historical P&amp;L'!V14)+((($C$11/'Historical P&amp;L'!$R$19)-1)*'Historical P&amp;L'!U13*(MAX(('Historical P&amp;L'!V13/'Historical P&amp;L'!U13),0)))+((2-($C$11/'Historical P&amp;L'!$R$19))*'Historical P&amp;L'!V13*(MAX(('Historical P&amp;L'!W13/'Historical P&amp;L'!V13),0))),($C$11/'Historical P&amp;L'!$R$19)&gt;2,(((($C$11/'Historical P&amp;L'!$R$19)-2)*'Historical P&amp;L'!T14)+((3-($C$11/'Historical P&amp;L'!$R$19))*'Historical P&amp;L'!U14)+(((($C$11/'Historical P&amp;L'!$R$19)-2))*'Historical P&amp;L'!T13*MAX(('Historical P&amp;L'!U13/'Historical P&amp;L'!T13),0))+((3-($C$11/'Historical P&amp;L'!$R$19))*'Historical P&amp;L'!U13*MAX(('Historical P&amp;L'!V13/'Historical P&amp;L'!U13),0))))-H13-H14-H15-('Historical P&amp;L'!W21-'Historical P&amp;L'!W48)</f>
        <v>73.999637784090893</v>
      </c>
      <c r="I6" s="95">
        <f>H6+_xlfn.IFS(($C$7/'Historical P&amp;L'!$R$10)&lt;=1,(($C$7/'Historical P&amp;L'!$R$10)*'Historical P&amp;L'!W10)+(1-($C$7/'Historical P&amp;L'!$R$10))*'Historical P&amp;L'!X10,AND(($C$7/'Historical P&amp;L'!$R$10)&gt;1,($C$7/'Historical P&amp;L'!$R$10)&lt;=2),(($C$7/'Historical P&amp;L'!$R$10)-1)*'Historical P&amp;L'!V10+(2-($C$7/'Historical P&amp;L'!$R$10))*'Historical P&amp;L'!W10,($C$7/'Historical P&amp;L'!$R$10)&gt;2,((($C$7/'Historical P&amp;L'!$R$10)-2)*'Historical P&amp;L'!U10)+((3-($C$7/'Historical P&amp;L'!$R$10))*'Historical P&amp;L'!V10))+I9-_xlfn.IFS(($C$11/'Historical P&amp;L'!$R$19)&lt;=1,(($C$11/'Historical P&amp;L'!$R$19)*'Historical P&amp;L'!W14)+((1-($C$11/'Historical P&amp;L'!$R$19))*'Historical P&amp;L'!X14)+(($C$11/'Historical P&amp;L'!$R$19)*'Historical P&amp;L'!W13*(MAX(('Historical P&amp;L'!X13/'Historical P&amp;L'!W13),0)))+((1-($C$11/'Historical P&amp;L'!$R$19))*'Historical P&amp;L'!X13*(MAX(('Historical P&amp;L'!Y13/'Historical P&amp;L'!X13),0))),AND(($C$11/'Historical P&amp;L'!$R$19)&gt;1,($C$11/'Historical P&amp;L'!$R$19)&lt;=2),((($C$11/'Historical P&amp;L'!$R$19)-1)*'Historical P&amp;L'!V14)+((2-($C$11/'Historical P&amp;L'!$R$19))*'Historical P&amp;L'!W14)+((($C$11/'Historical P&amp;L'!$R$19)-1)*'Historical P&amp;L'!V13*(MAX(('Historical P&amp;L'!W13/'Historical P&amp;L'!V13),0)))+((2-($C$11/'Historical P&amp;L'!$R$19))*'Historical P&amp;L'!W13*(MAX(('Historical P&amp;L'!X13/'Historical P&amp;L'!W13),0))),($C$11/'Historical P&amp;L'!$R$19)&gt;2,(((($C$11/'Historical P&amp;L'!$R$19)-2)*'Historical P&amp;L'!U14)+((3-($C$11/'Historical P&amp;L'!$R$19))*'Historical P&amp;L'!V14)+(((($C$11/'Historical P&amp;L'!$R$19)-2))*'Historical P&amp;L'!U13*MAX(('Historical P&amp;L'!V13/'Historical P&amp;L'!U13),0))+((3-($C$11/'Historical P&amp;L'!$R$19))*'Historical P&amp;L'!V13*MAX(('Historical P&amp;L'!W13/'Historical P&amp;L'!V13),0))))-I13-I14-I15-('Historical P&amp;L'!X21-'Historical P&amp;L'!X48)</f>
        <v>97.180941529173936</v>
      </c>
      <c r="J6" s="95">
        <f>I6+_xlfn.IFS(($C$7/'Historical P&amp;L'!$R$10)&lt;=1,(($C$7/'Historical P&amp;L'!$R$10)*'Historical P&amp;L'!X10)+(1-($C$7/'Historical P&amp;L'!$R$10))*'Historical P&amp;L'!Y10,AND(($C$7/'Historical P&amp;L'!$R$10)&gt;1,($C$7/'Historical P&amp;L'!$R$10)&lt;=2),(($C$7/'Historical P&amp;L'!$R$10)-1)*'Historical P&amp;L'!W10+(2-($C$7/'Historical P&amp;L'!$R$10))*'Historical P&amp;L'!X10,($C$7/'Historical P&amp;L'!$R$10)&gt;2,((($C$7/'Historical P&amp;L'!$R$10)-2)*'Historical P&amp;L'!V10)+((3-($C$7/'Historical P&amp;L'!$R$10))*'Historical P&amp;L'!W10))+J9-_xlfn.IFS(($C$11/'Historical P&amp;L'!$R$19)&lt;=1,(($C$11/'Historical P&amp;L'!$R$19)*'Historical P&amp;L'!X14)+((1-($C$11/'Historical P&amp;L'!$R$19))*'Historical P&amp;L'!Y14)+(($C$11/'Historical P&amp;L'!$R$19)*'Historical P&amp;L'!X13*(MAX(('Historical P&amp;L'!Y13/'Historical P&amp;L'!X13),0)))+((1-($C$11/'Historical P&amp;L'!$R$19))*'Historical P&amp;L'!Y13*(MAX(('Historical P&amp;L'!Z13/'Historical P&amp;L'!Y13),0))),AND(($C$11/'Historical P&amp;L'!$R$19)&gt;1,($C$11/'Historical P&amp;L'!$R$19)&lt;=2),((($C$11/'Historical P&amp;L'!$R$19)-1)*'Historical P&amp;L'!W14)+((2-($C$11/'Historical P&amp;L'!$R$19))*'Historical P&amp;L'!X14)+((($C$11/'Historical P&amp;L'!$R$19)-1)*'Historical P&amp;L'!W13*(MAX(('Historical P&amp;L'!X13/'Historical P&amp;L'!W13),0)))+((2-($C$11/'Historical P&amp;L'!$R$19))*'Historical P&amp;L'!X13*(MAX(('Historical P&amp;L'!Y13/'Historical P&amp;L'!X13),0))),($C$11/'Historical P&amp;L'!$R$19)&gt;2,(((($C$11/'Historical P&amp;L'!$R$19)-2)*'Historical P&amp;L'!V14)+((3-($C$11/'Historical P&amp;L'!$R$19))*'Historical P&amp;L'!W14)+(((($C$11/'Historical P&amp;L'!$R$19)-2))*'Historical P&amp;L'!V13*MAX(('Historical P&amp;L'!W13/'Historical P&amp;L'!V13),0))+((3-($C$11/'Historical P&amp;L'!$R$19))*'Historical P&amp;L'!W13*MAX(('Historical P&amp;L'!X13/'Historical P&amp;L'!W13),0))))-J13-J14-J15-('Historical P&amp;L'!Y21-'Historical P&amp;L'!Y48)</f>
        <v>99.535538220812384</v>
      </c>
      <c r="K6" s="95">
        <f>J6+_xlfn.IFS(($C$7/'Historical P&amp;L'!$R$10)&lt;=1,(($C$7/'Historical P&amp;L'!$R$10)*'Historical P&amp;L'!Y10)+(1-($C$7/'Historical P&amp;L'!$R$10))*'Historical P&amp;L'!Z10,AND(($C$7/'Historical P&amp;L'!$R$10)&gt;1,($C$7/'Historical P&amp;L'!$R$10)&lt;=2),(($C$7/'Historical P&amp;L'!$R$10)-1)*'Historical P&amp;L'!X10+(2-($C$7/'Historical P&amp;L'!$R$10))*'Historical P&amp;L'!Y10,($C$7/'Historical P&amp;L'!$R$10)&gt;2,((($C$7/'Historical P&amp;L'!$R$10)-2)*'Historical P&amp;L'!W10)+((3-($C$7/'Historical P&amp;L'!$R$10))*'Historical P&amp;L'!X10))+K9-_xlfn.IFS(($C$11/'Historical P&amp;L'!$R$19)&lt;=1,(($C$11/'Historical P&amp;L'!$R$19)*'Historical P&amp;L'!Y14)+((1-($C$11/'Historical P&amp;L'!$R$19))*'Historical P&amp;L'!Z14)+(($C$11/'Historical P&amp;L'!$R$19)*'Historical P&amp;L'!Y13*(MAX(('Historical P&amp;L'!Z13/'Historical P&amp;L'!Y13),0)))+((1-($C$11/'Historical P&amp;L'!$R$19))*'Historical P&amp;L'!Z13*(MAX(('Historical P&amp;L'!AA13/'Historical P&amp;L'!Z13),0))),AND(($C$11/'Historical P&amp;L'!$R$19)&gt;1,($C$11/'Historical P&amp;L'!$R$19)&lt;=2),((($C$11/'Historical P&amp;L'!$R$19)-1)*'Historical P&amp;L'!X14)+((2-($C$11/'Historical P&amp;L'!$R$19))*'Historical P&amp;L'!Y14)+((($C$11/'Historical P&amp;L'!$R$19)-1)*'Historical P&amp;L'!X13*(MAX(('Historical P&amp;L'!Y13/'Historical P&amp;L'!X13),0)))+((2-($C$11/'Historical P&amp;L'!$R$19))*'Historical P&amp;L'!Y13*(MAX(('Historical P&amp;L'!Z13/'Historical P&amp;L'!Y13),0))),($C$11/'Historical P&amp;L'!$R$19)&gt;2,(((($C$11/'Historical P&amp;L'!$R$19)-2)*'Historical P&amp;L'!W14)+((3-($C$11/'Historical P&amp;L'!$R$19))*'Historical P&amp;L'!X14)+(((($C$11/'Historical P&amp;L'!$R$19)-2))*'Historical P&amp;L'!W13*MAX(('Historical P&amp;L'!X13/'Historical P&amp;L'!W13),0))+((3-($C$11/'Historical P&amp;L'!$R$19))*'Historical P&amp;L'!X13*MAX(('Historical P&amp;L'!Y13/'Historical P&amp;L'!X13),0))))-K13-K14-K15-('Historical P&amp;L'!Z21-'Historical P&amp;L'!Z48)</f>
        <v>79.199845927353564</v>
      </c>
      <c r="L6" s="95">
        <f>K6+_xlfn.IFS(($C$7/'Historical P&amp;L'!$R$10)&lt;=1,(($C$7/'Historical P&amp;L'!$R$10)*'Historical P&amp;L'!Z10)+(1-($C$7/'Historical P&amp;L'!$R$10))*'Historical P&amp;L'!AA10,AND(($C$7/'Historical P&amp;L'!$R$10)&gt;1,($C$7/'Historical P&amp;L'!$R$10)&lt;=2),(($C$7/'Historical P&amp;L'!$R$10)-1)*'Historical P&amp;L'!Y10+(2-($C$7/'Historical P&amp;L'!$R$10))*'Historical P&amp;L'!Z10,($C$7/'Historical P&amp;L'!$R$10)&gt;2,((($C$7/'Historical P&amp;L'!$R$10)-2)*'Historical P&amp;L'!X10)+((3-($C$7/'Historical P&amp;L'!$R$10))*'Historical P&amp;L'!Y10))+L9-_xlfn.IFS(($C$11/'Historical P&amp;L'!$R$19)&lt;=1,(($C$11/'Historical P&amp;L'!$R$19)*'Historical P&amp;L'!Z14)+((1-($C$11/'Historical P&amp;L'!$R$19))*'Historical P&amp;L'!AA14)+(($C$11/'Historical P&amp;L'!$R$19)*'Historical P&amp;L'!Z13*(MAX(('Historical P&amp;L'!AA13/'Historical P&amp;L'!Z13),0)))+((1-($C$11/'Historical P&amp;L'!$R$19))*'Historical P&amp;L'!AA13*(MAX(('Historical P&amp;L'!AB13/'Historical P&amp;L'!AA13),0))),AND(($C$11/'Historical P&amp;L'!$R$19)&gt;1,($C$11/'Historical P&amp;L'!$R$19)&lt;=2),((($C$11/'Historical P&amp;L'!$R$19)-1)*'Historical P&amp;L'!Y14)+((2-($C$11/'Historical P&amp;L'!$R$19))*'Historical P&amp;L'!Z14)+((($C$11/'Historical P&amp;L'!$R$19)-1)*'Historical P&amp;L'!Y13*(MAX(('Historical P&amp;L'!Z13/'Historical P&amp;L'!Y13),0)))+((2-($C$11/'Historical P&amp;L'!$R$19))*'Historical P&amp;L'!Z13*(MAX(('Historical P&amp;L'!AA13/'Historical P&amp;L'!Z13),0))),($C$11/'Historical P&amp;L'!$R$19)&gt;2,(((($C$11/'Historical P&amp;L'!$R$19)-2)*'Historical P&amp;L'!X14)+((3-($C$11/'Historical P&amp;L'!$R$19))*'Historical P&amp;L'!Y14)+(((($C$11/'Historical P&amp;L'!$R$19)-2))*'Historical P&amp;L'!X13*MAX(('Historical P&amp;L'!Y13/'Historical P&amp;L'!X13),0))+((3-($C$11/'Historical P&amp;L'!$R$19))*'Historical P&amp;L'!Y13*MAX(('Historical P&amp;L'!Z13/'Historical P&amp;L'!Y13),0))))-L13-L14-L15-('Historical P&amp;L'!AA21-'Historical P&amp;L'!AA48)</f>
        <v>48.620111761844242</v>
      </c>
      <c r="M6" s="95">
        <f>L6+_xlfn.IFS(($C$7/'Historical P&amp;L'!$R$10)&lt;=1,(($C$7/'Historical P&amp;L'!$R$10)*'Historical P&amp;L'!AA10)+(1-($C$7/'Historical P&amp;L'!$R$10))*'Historical P&amp;L'!AB10,AND(($C$7/'Historical P&amp;L'!$R$10)&gt;1,($C$7/'Historical P&amp;L'!$R$10)&lt;=2),(($C$7/'Historical P&amp;L'!$R$10)-1)*'Historical P&amp;L'!Z10+(2-($C$7/'Historical P&amp;L'!$R$10))*'Historical P&amp;L'!AA10,($C$7/'Historical P&amp;L'!$R$10)&gt;2,((($C$7/'Historical P&amp;L'!$R$10)-2)*'Historical P&amp;L'!Y10)+((3-($C$7/'Historical P&amp;L'!$R$10))*'Historical P&amp;L'!Z10))+M9-_xlfn.IFS(($C$11/'Historical P&amp;L'!$R$19)&lt;=1,(($C$11/'Historical P&amp;L'!$R$19)*'Historical P&amp;L'!AA14)+((1-($C$11/'Historical P&amp;L'!$R$19))*'Historical P&amp;L'!AB14)+(($C$11/'Historical P&amp;L'!$R$19)*'Historical P&amp;L'!AA13*(MAX(('Historical P&amp;L'!AB13/'Historical P&amp;L'!AA13),0)))+((1-($C$11/'Historical P&amp;L'!$R$19))*'Historical P&amp;L'!AB13*(MAX(('Historical P&amp;L'!AC13/'Historical P&amp;L'!AB13),0))),AND(($C$11/'Historical P&amp;L'!$R$19)&gt;1,($C$11/'Historical P&amp;L'!$R$19)&lt;=2),((($C$11/'Historical P&amp;L'!$R$19)-1)*'Historical P&amp;L'!Z14)+((2-($C$11/'Historical P&amp;L'!$R$19))*'Historical P&amp;L'!AA14)+((($C$11/'Historical P&amp;L'!$R$19)-1)*'Historical P&amp;L'!Z13*(MAX(('Historical P&amp;L'!AA13/'Historical P&amp;L'!Z13),0)))+((2-($C$11/'Historical P&amp;L'!$R$19))*'Historical P&amp;L'!AA13*(MAX(('Historical P&amp;L'!AB13/'Historical P&amp;L'!AA13),0))),($C$11/'Historical P&amp;L'!$R$19)&gt;2,(((($C$11/'Historical P&amp;L'!$R$19)-2)*'Historical P&amp;L'!Y14)+((3-($C$11/'Historical P&amp;L'!$R$19))*'Historical P&amp;L'!Z14)+(((($C$11/'Historical P&amp;L'!$R$19)-2))*'Historical P&amp;L'!Y13*MAX(('Historical P&amp;L'!Z13/'Historical P&amp;L'!Y13),0))+((3-($C$11/'Historical P&amp;L'!$R$19))*'Historical P&amp;L'!Z13*MAX(('Historical P&amp;L'!AA13/'Historical P&amp;L'!Z13),0))))-M13-M14-M15-('Historical P&amp;L'!AB21-'Historical P&amp;L'!AB48)</f>
        <v>17.403864508702878</v>
      </c>
      <c r="N6" s="95">
        <f>M6+_xlfn.IFS(($C$7/'Historical P&amp;L'!$R$10)&lt;=1,(($C$7/'Historical P&amp;L'!$R$10)*'Historical P&amp;L'!AB10)+(1-($C$7/'Historical P&amp;L'!$R$10))*'Historical P&amp;L'!AC10,AND(($C$7/'Historical P&amp;L'!$R$10)&gt;1,($C$7/'Historical P&amp;L'!$R$10)&lt;=2),(($C$7/'Historical P&amp;L'!$R$10)-1)*'Historical P&amp;L'!AA10+(2-($C$7/'Historical P&amp;L'!$R$10))*'Historical P&amp;L'!AB10,($C$7/'Historical P&amp;L'!$R$10)&gt;2,((($C$7/'Historical P&amp;L'!$R$10)-2)*'Historical P&amp;L'!Z10)+((3-($C$7/'Historical P&amp;L'!$R$10))*'Historical P&amp;L'!AA10))+N9-_xlfn.IFS(($C$11/'Historical P&amp;L'!$R$19)&lt;=1,(($C$11/'Historical P&amp;L'!$R$19)*'Historical P&amp;L'!AB14)+((1-($C$11/'Historical P&amp;L'!$R$19))*'Historical P&amp;L'!AC14)+(($C$11/'Historical P&amp;L'!$R$19)*'Historical P&amp;L'!AB13*(MAX(('Historical P&amp;L'!AC13/'Historical P&amp;L'!AB13),0)))+((1-($C$11/'Historical P&amp;L'!$R$19))*'Historical P&amp;L'!AC13*(MAX(('Historical P&amp;L'!AD13/'Historical P&amp;L'!AC13),0))),AND(($C$11/'Historical P&amp;L'!$R$19)&gt;1,($C$11/'Historical P&amp;L'!$R$19)&lt;=2),((($C$11/'Historical P&amp;L'!$R$19)-1)*'Historical P&amp;L'!AA14)+((2-($C$11/'Historical P&amp;L'!$R$19))*'Historical P&amp;L'!AB14)+((($C$11/'Historical P&amp;L'!$R$19)-1)*'Historical P&amp;L'!AA13*(MAX(('Historical P&amp;L'!AB13/'Historical P&amp;L'!AA13),0)))+((2-($C$11/'Historical P&amp;L'!$R$19))*'Historical P&amp;L'!AB13*(MAX(('Historical P&amp;L'!AC13/'Historical P&amp;L'!AB13),0))),($C$11/'Historical P&amp;L'!$R$19)&gt;2,(((($C$11/'Historical P&amp;L'!$R$19)-2)*'Historical P&amp;L'!Z14)+((3-($C$11/'Historical P&amp;L'!$R$19))*'Historical P&amp;L'!AA14)+(((($C$11/'Historical P&amp;L'!$R$19)-2))*'Historical P&amp;L'!Z13*MAX(('Historical P&amp;L'!AA13/'Historical P&amp;L'!Z13),0))+((3-($C$11/'Historical P&amp;L'!$R$19))*'Historical P&amp;L'!AA13*MAX(('Historical P&amp;L'!AB13/'Historical P&amp;L'!AA13),0))))-N13-N14-N15-('Historical P&amp;L'!AC21-'Historical P&amp;L'!AC48)</f>
        <v>-1.4867974957687906</v>
      </c>
      <c r="O6" s="95">
        <f>N6+_xlfn.IFS(($C$7/'Historical P&amp;L'!$R$10)&lt;=1,(($C$7/'Historical P&amp;L'!$R$10)*'Historical P&amp;L'!AC10)+(1-($C$7/'Historical P&amp;L'!$R$10))*'Historical P&amp;L'!AD10,AND(($C$7/'Historical P&amp;L'!$R$10)&gt;1,($C$7/'Historical P&amp;L'!$R$10)&lt;=2),(($C$7/'Historical P&amp;L'!$R$10)-1)*'Historical P&amp;L'!AB10+(2-($C$7/'Historical P&amp;L'!$R$10))*'Historical P&amp;L'!AC10,($C$7/'Historical P&amp;L'!$R$10)&gt;2,((($C$7/'Historical P&amp;L'!$R$10)-2)*'Historical P&amp;L'!AA10)+((3-($C$7/'Historical P&amp;L'!$R$10))*'Historical P&amp;L'!AB10))+O9-_xlfn.IFS(($C$11/'Historical P&amp;L'!$R$19)&lt;=1,(($C$11/'Historical P&amp;L'!$R$19)*'Historical P&amp;L'!AC14)+((1-($C$11/'Historical P&amp;L'!$R$19))*'Historical P&amp;L'!AD14)+(($C$11/'Historical P&amp;L'!$R$19)*'Historical P&amp;L'!AC13*(MAX(('Historical P&amp;L'!AD13/'Historical P&amp;L'!AC13),0)))+((1-($C$11/'Historical P&amp;L'!$R$19))*'Historical P&amp;L'!AD13*(MAX(('Historical P&amp;L'!AE13/'Historical P&amp;L'!AD13),0))),AND(($C$11/'Historical P&amp;L'!$R$19)&gt;1,($C$11/'Historical P&amp;L'!$R$19)&lt;=2),((($C$11/'Historical P&amp;L'!$R$19)-1)*'Historical P&amp;L'!AB14)+((2-($C$11/'Historical P&amp;L'!$R$19))*'Historical P&amp;L'!AC14)+((($C$11/'Historical P&amp;L'!$R$19)-1)*'Historical P&amp;L'!AB13*(MAX(('Historical P&amp;L'!AC13/'Historical P&amp;L'!AB13),0)))+((2-($C$11/'Historical P&amp;L'!$R$19))*'Historical P&amp;L'!AC13*(MAX(('Historical P&amp;L'!AD13/'Historical P&amp;L'!AC13),0))),($C$11/'Historical P&amp;L'!$R$19)&gt;2,(((($C$11/'Historical P&amp;L'!$R$19)-2)*'Historical P&amp;L'!AA14)+((3-($C$11/'Historical P&amp;L'!$R$19))*'Historical P&amp;L'!AB14)+(((($C$11/'Historical P&amp;L'!$R$19)-2))*'Historical P&amp;L'!AA13*MAX(('Historical P&amp;L'!AB13/'Historical P&amp;L'!AA13),0))+((3-($C$11/'Historical P&amp;L'!$R$19))*'Historical P&amp;L'!AB13*MAX(('Historical P&amp;L'!AC13/'Historical P&amp;L'!AB13),0))))-O13-O14-O15-('Historical P&amp;L'!AD21-'Historical P&amp;L'!AD48)</f>
        <v>-16.113484894337319</v>
      </c>
      <c r="Q6" s="6"/>
    </row>
    <row r="7" spans="1:17">
      <c r="A7" t="s">
        <v>69</v>
      </c>
      <c r="C7" s="94">
        <v>150</v>
      </c>
      <c r="D7" s="95">
        <f>_xlfn.IFS(($C$7/'Historical P&amp;L'!$R$10)&lt;=1,(($C$7/'Historical P&amp;L'!$R$10)*'Historical P&amp;L'!R10),AND(($C$7/'Historical P&amp;L'!$R$10)&gt;1,($C$7/'Historical P&amp;L'!$R$10)&lt;=2),(($C$7/'Historical P&amp;L'!$R$10)-1)*'Historical P&amp;L'!R10+'Historical P&amp;L'!S10,($C$7/'Historical P&amp;L'!$R$10)&gt;2,((($C$7/'Historical P&amp;L'!$R$10)-2)*'Historical P&amp;L'!Q10)+'Historical P&amp;L'!R10+'Historical P&amp;L'!S10)</f>
        <v>150</v>
      </c>
      <c r="E7" s="95">
        <f>_xlfn.IFS(($C$7/'Historical P&amp;L'!$R$10)&lt;=1,(($C$7/'Historical P&amp;L'!$R$10)*'Historical P&amp;L'!S10),AND(($C$7/'Historical P&amp;L'!$R$10)&gt;1,($C$7/'Historical P&amp;L'!$R$10)&lt;=2),(($C$7/'Historical P&amp;L'!$R$10)-1)*'Historical P&amp;L'!S10+'Historical P&amp;L'!T10,($C$7/'Historical P&amp;L'!$R$10)&gt;2,((($C$7/'Historical P&amp;L'!$R$10)-2)*'Historical P&amp;L'!R10)+'Historical P&amp;L'!S10+'Historical P&amp;L'!T10)</f>
        <v>150</v>
      </c>
      <c r="F7" s="95">
        <f>_xlfn.IFS(($C$7/'Historical P&amp;L'!$R$10)&lt;=1,(($C$7/'Historical P&amp;L'!$R$10)*'Historical P&amp;L'!T10),AND(($C$7/'Historical P&amp;L'!$R$10)&gt;1,($C$7/'Historical P&amp;L'!$R$10)&lt;=2),(($C$7/'Historical P&amp;L'!$R$10)-1)*'Historical P&amp;L'!T10+'Historical P&amp;L'!U10,($C$7/'Historical P&amp;L'!$R$10)&gt;2,((($C$7/'Historical P&amp;L'!$R$10)-2)*'Historical P&amp;L'!S10)+'Historical P&amp;L'!T10+'Historical P&amp;L'!U10)</f>
        <v>122.72727272727275</v>
      </c>
      <c r="G7" s="95">
        <f>_xlfn.IFS(($C$7/'Historical P&amp;L'!$R$10)&lt;=1,(($C$7/'Historical P&amp;L'!$R$10)*'Historical P&amp;L'!U10),AND(($C$7/'Historical P&amp;L'!$R$10)&gt;1,($C$7/'Historical P&amp;L'!$R$10)&lt;=2),(($C$7/'Historical P&amp;L'!$R$10)-1)*'Historical P&amp;L'!U10+'Historical P&amp;L'!V10,($C$7/'Historical P&amp;L'!$R$10)&gt;2,((($C$7/'Historical P&amp;L'!$R$10)-2)*'Historical P&amp;L'!T10)+'Historical P&amp;L'!U10+'Historical P&amp;L'!V10)</f>
        <v>102.36363636363637</v>
      </c>
      <c r="H7" s="95">
        <f>_xlfn.IFS(($C$7/'Historical P&amp;L'!$R$10)&lt;=1,(($C$7/'Historical P&amp;L'!$R$10)*'Historical P&amp;L'!V10),AND(($C$7/'Historical P&amp;L'!$R$10)&gt;1,($C$7/'Historical P&amp;L'!$R$10)&lt;=2),(($C$7/'Historical P&amp;L'!$R$10)-1)*'Historical P&amp;L'!V10+'Historical P&amp;L'!W10,($C$7/'Historical P&amp;L'!$R$10)&gt;2,((($C$7/'Historical P&amp;L'!$R$10)-2)*'Historical P&amp;L'!U10)+'Historical P&amp;L'!V10+'Historical P&amp;L'!W10)</f>
        <v>73</v>
      </c>
      <c r="I7" s="95">
        <f>_xlfn.IFS(($C$7/'Historical P&amp;L'!$R$10)&lt;=1,(($C$7/'Historical P&amp;L'!$R$10)*'Historical P&amp;L'!W10),AND(($C$7/'Historical P&amp;L'!$R$10)&gt;1,($C$7/'Historical P&amp;L'!$R$10)&lt;=2),(($C$7/'Historical P&amp;L'!$R$10)-1)*'Historical P&amp;L'!W10+'Historical P&amp;L'!X10,($C$7/'Historical P&amp;L'!$R$10)&gt;2,((($C$7/'Historical P&amp;L'!$R$10)-2)*'Historical P&amp;L'!V10)+'Historical P&amp;L'!W10+'Historical P&amp;L'!X10)</f>
        <v>39.090909090909093</v>
      </c>
      <c r="J7" s="95">
        <f>_xlfn.IFS(($C$7/'Historical P&amp;L'!$R$10)&lt;=1,(($C$7/'Historical P&amp;L'!$R$10)*'Historical P&amp;L'!X10),AND(($C$7/'Historical P&amp;L'!$R$10)&gt;1,($C$7/'Historical P&amp;L'!$R$10)&lt;=2),(($C$7/'Historical P&amp;L'!$R$10)-1)*'Historical P&amp;L'!X10+'Historical P&amp;L'!Y10,($C$7/'Historical P&amp;L'!$R$10)&gt;2,((($C$7/'Historical P&amp;L'!$R$10)-2)*'Historical P&amp;L'!W10)+'Historical P&amp;L'!X10+'Historical P&amp;L'!Y10)</f>
        <v>30.545454545454547</v>
      </c>
      <c r="K7" s="95">
        <f>_xlfn.IFS(($C$7/'Historical P&amp;L'!$R$10)&lt;=1,(($C$7/'Historical P&amp;L'!$R$10)*'Historical P&amp;L'!Y10),AND(($C$7/'Historical P&amp;L'!$R$10)&gt;1,($C$7/'Historical P&amp;L'!$R$10)&lt;=2),(($C$7/'Historical P&amp;L'!$R$10)-1)*'Historical P&amp;L'!Y10+'Historical P&amp;L'!Z10,($C$7/'Historical P&amp;L'!$R$10)&gt;2,((($C$7/'Historical P&amp;L'!$R$10)-2)*'Historical P&amp;L'!X10)+'Historical P&amp;L'!Y10+'Historical P&amp;L'!Z10)</f>
        <v>48.760869565217391</v>
      </c>
      <c r="L7" s="95">
        <f>_xlfn.IFS(($C$7/'Historical P&amp;L'!$R$10)&lt;=1,(($C$7/'Historical P&amp;L'!$R$10)*'Historical P&amp;L'!Z10),AND(($C$7/'Historical P&amp;L'!$R$10)&gt;1,($C$7/'Historical P&amp;L'!$R$10)&lt;=2),(($C$7/'Historical P&amp;L'!$R$10)-1)*'Historical P&amp;L'!Z10+'Historical P&amp;L'!AA10,($C$7/'Historical P&amp;L'!$R$10)&gt;2,((($C$7/'Historical P&amp;L'!$R$10)-2)*'Historical P&amp;L'!Y10)+'Historical P&amp;L'!Z10+'Historical P&amp;L'!AA10)</f>
        <v>79.130434782608688</v>
      </c>
      <c r="M7" s="95">
        <f>_xlfn.IFS(($C$7/'Historical P&amp;L'!$R$10)&lt;=1,(($C$7/'Historical P&amp;L'!$R$10)*'Historical P&amp;L'!AA10),AND(($C$7/'Historical P&amp;L'!$R$10)&gt;1,($C$7/'Historical P&amp;L'!$R$10)&lt;=2),(($C$7/'Historical P&amp;L'!$R$10)-1)*'Historical P&amp;L'!AA10+'Historical P&amp;L'!AB10,($C$7/'Historical P&amp;L'!$R$10)&gt;2,((($C$7/'Historical P&amp;L'!$R$10)-2)*'Historical P&amp;L'!Z10)+'Historical P&amp;L'!AA10+'Historical P&amp;L'!AB10)</f>
        <v>113.80952380952381</v>
      </c>
      <c r="N7" s="95">
        <f>_xlfn.IFS(($C$7/'Historical P&amp;L'!$R$10)&lt;=1,(($C$7/'Historical P&amp;L'!$R$10)*'Historical P&amp;L'!AB10),AND(($C$7/'Historical P&amp;L'!$R$10)&gt;1,($C$7/'Historical P&amp;L'!$R$10)&lt;=2),(($C$7/'Historical P&amp;L'!$R$10)-1)*'Historical P&amp;L'!AB10+'Historical P&amp;L'!AC10,($C$7/'Historical P&amp;L'!$R$10)&gt;2,((($C$7/'Historical P&amp;L'!$R$10)-2)*'Historical P&amp;L'!AA10)+'Historical P&amp;L'!AB10+'Historical P&amp;L'!AC10)</f>
        <v>132.81385281385283</v>
      </c>
      <c r="O7" s="95">
        <f>_xlfn.IFS(($C$7/'Historical P&amp;L'!$R$10)&lt;=1,(($C$7/'Historical P&amp;L'!$R$10)*'Historical P&amp;L'!AC10),AND(($C$7/'Historical P&amp;L'!$R$10)&gt;1,($C$7/'Historical P&amp;L'!$R$10)&lt;=2),(($C$7/'Historical P&amp;L'!$R$10)-1)*'Historical P&amp;L'!AC10+'Historical P&amp;L'!AD10,($C$7/'Historical P&amp;L'!$R$10)&gt;2,((($C$7/'Historical P&amp;L'!$R$10)-2)*'Historical P&amp;L'!AB10)+'Historical P&amp;L'!AC10+'Historical P&amp;L'!AD10)</f>
        <v>150.45454545454547</v>
      </c>
    </row>
    <row r="8" spans="1:17">
      <c r="A8" t="s">
        <v>52</v>
      </c>
      <c r="C8" s="94">
        <v>200</v>
      </c>
      <c r="D8" s="96">
        <f>C8-'Historical P&amp;L'!S13+'Historical P&amp;L'!T13</f>
        <v>200</v>
      </c>
      <c r="E8" s="96">
        <f>D8-'Historical P&amp;L'!T13+'Historical P&amp;L'!U13</f>
        <v>183.63636363636363</v>
      </c>
      <c r="F8" s="96">
        <f>E8-'Historical P&amp;L'!U13+'Historical P&amp;L'!V13</f>
        <v>179.60000000000002</v>
      </c>
      <c r="G8" s="96">
        <f>F8-'Historical P&amp;L'!V13+'Historical P&amp;L'!W13</f>
        <v>164</v>
      </c>
      <c r="H8" s="96">
        <f>G8-'Historical P&amp;L'!W13+'Historical P&amp;L'!X13</f>
        <v>151.45454545454547</v>
      </c>
      <c r="I8" s="96">
        <f>H8-'Historical P&amp;L'!X13+'Historical P&amp;L'!Y13</f>
        <v>152.6</v>
      </c>
      <c r="J8" s="96">
        <f>I8-'Historical P&amp;L'!Y13+'Historical P&amp;L'!Z13</f>
        <v>162.95652173913044</v>
      </c>
      <c r="K8" s="96">
        <f>J8-'Historical P&amp;L'!Z13+'Historical P&amp;L'!AA13</f>
        <v>176</v>
      </c>
      <c r="L8" s="96">
        <f>K8-'Historical P&amp;L'!AA13+'Historical P&amp;L'!AB13</f>
        <v>190.28571428571428</v>
      </c>
      <c r="M8" s="96">
        <f>L8-'Historical P&amp;L'!AB13+'Historical P&amp;L'!AC13</f>
        <v>194.54545454545456</v>
      </c>
      <c r="N8" s="96">
        <f>M8-'Historical P&amp;L'!AC13+'Historical P&amp;L'!AD13</f>
        <v>203</v>
      </c>
      <c r="O8" s="96">
        <f>N8-'Historical P&amp;L'!AD13+'Historical P&amp;L'!AE13</f>
        <v>209</v>
      </c>
    </row>
    <row r="9" spans="1:17">
      <c r="A9" t="s">
        <v>68</v>
      </c>
      <c r="C9" s="94"/>
      <c r="D9" s="94"/>
      <c r="E9" s="94"/>
      <c r="F9" s="94"/>
      <c r="G9" s="94"/>
      <c r="H9" s="94"/>
      <c r="I9" s="94"/>
      <c r="J9" s="94"/>
      <c r="K9" s="94"/>
      <c r="L9" s="94"/>
      <c r="M9" s="94"/>
      <c r="N9" s="94"/>
      <c r="O9" s="94"/>
    </row>
    <row r="10" spans="1:17">
      <c r="A10" s="59"/>
      <c r="C10" s="96"/>
      <c r="D10" s="96"/>
      <c r="E10" s="96"/>
      <c r="F10" s="96"/>
      <c r="G10" s="96"/>
      <c r="H10" s="96"/>
      <c r="I10" s="96"/>
      <c r="J10" s="96"/>
      <c r="K10" s="96"/>
      <c r="L10" s="96"/>
      <c r="M10" s="96"/>
      <c r="N10" s="96"/>
      <c r="O10" s="96"/>
      <c r="P10" s="6"/>
    </row>
    <row r="11" spans="1:17">
      <c r="A11" t="s">
        <v>54</v>
      </c>
      <c r="C11" s="94">
        <v>80</v>
      </c>
      <c r="D11" s="96">
        <f>_xlfn.IFS(($C$11/'Historical P&amp;L'!$R$19)&lt;=1,(($C$11/'Historical P&amp;L'!$R$19)*'Historical P&amp;L'!S14)+((($C$11/'Historical P&amp;L'!$R$19)*'Historical P&amp;L'!S13)*(MAX('Historical P&amp;L'!T13/'Historical P&amp;L'!S13,0))),AND(($C$11/'Historical P&amp;L'!$R$19)&gt;1,($C$11/'Historical P&amp;L'!$R$19)&lt;=2),((($C$11/'Historical P&amp;L'!$R$19)-1)*'Historical P&amp;L'!R14)+('Historical P&amp;L'!S14)+((($C$11/'Historical P&amp;L'!$R$19-1)*'Historical P&amp;L'!R13)*MAX(('Historical P&amp;L'!S13/'Historical P&amp;L'!R13),0))+('Historical P&amp;L'!S13*MAX(('Historical P&amp;L'!T13/'Historical P&amp;L'!S13),0)),($C$11/'Historical P&amp;L'!$R$19)&gt;2,((($C$11/'Historical P&amp;L'!$R$19)-2)*'Historical P&amp;L'!Q14)+('Historical P&amp;L'!R14)+('Historical P&amp;L'!S14)+((($C$11/'Historical P&amp;L'!$R$19)-2)*'Historical P&amp;L'!Q13*(MAX(('Historical P&amp;L'!R13/'Historical P&amp;L'!Q13),0)))+('Historical P&amp;L'!R13*(MAX(('Historical P&amp;L'!S13/'Historical P&amp;L'!R13),0)))+('Historical P&amp;L'!S13*MAX(('Historical P&amp;L'!T13/'Historical P&amp;L'!S13),0)))</f>
        <v>80</v>
      </c>
      <c r="E11" s="96" cm="1">
        <f t="array" ref="E11">_xlfn.IFS(($C$11/'Historical P&amp;L'!$R$19)&lt;=1,(($C$11/'Historical P&amp;L'!$R$19)*'Historical P&amp;L'!T14)+((($C$11/'Historical P&amp;L'!$R$19)*'Historical P&amp;L'!T13)*(MAX('Historical P&amp;L'!U13/'Historical P&amp;L'!T13,0))),AND(($C$11/'Historical P&amp;L'!$R$19)&gt;1,($C$11/'Historical P&amp;L'!$R$19)&lt;=2),((($C$11/'Historical P&amp;L'!$R$19)-1)*'Historical P&amp;L'!S14)+('Historical P&amp;L'!T14)+((($C$11/'Historical P&amp;L'!$R$19-1)*'Historical P&amp;L'!S13)*MAX(('Historical P&amp;L'!T13/'Historical P&amp;L'!S13),0))+('Historical P&amp;L'!T13*MAX(('Historical P&amp;L'!U13/'Historical P&amp;L'!T13),0)),($C$11/'Historical P&amp;L'!$R$19)&gt;2,((($C$11/'Historical P&amp;L'!$R$19)-2)*'Historical P&amp;L'!R14)+('Historical P&amp;L'!S14)+('Historical P&amp;L'!T14)+((($C$11/'Historical P&amp;L'!$R$19)-2)*'Historical P&amp;L'!R13*(MAX(('Historical P&amp;L'!S13/'Historical P&amp;L'!R13),0)))+('Historical P&amp;L'!S13*(MAX(('Historical P&amp;L'!T13/'Historical P&amp;L'!S13),0)))+('Historical P&amp;L'!T13*MAX(('Historical P&amp;L'!U13/'Historical P&amp;L'!T13),0)))</f>
        <v>63.63636363636364</v>
      </c>
      <c r="F11" s="96" cm="1">
        <f t="array" ref="F11">_xlfn.IFS(($C$11/'Historical P&amp;L'!$R$19)&lt;=1,(($C$11/'Historical P&amp;L'!$R$19)*'Historical P&amp;L'!U14)+((($C$11/'Historical P&amp;L'!$R$19)*'Historical P&amp;L'!U13)*(MAX('Historical P&amp;L'!V13/'Historical P&amp;L'!U13,0))),AND(($C$11/'Historical P&amp;L'!$R$19)&gt;1,($C$11/'Historical P&amp;L'!$R$19)&lt;=2),((($C$11/'Historical P&amp;L'!$R$19)-1)*'Historical P&amp;L'!T14)+('Historical P&amp;L'!U14)+((($C$11/'Historical P&amp;L'!$R$19-1)*'Historical P&amp;L'!T13)*MAX(('Historical P&amp;L'!U13/'Historical P&amp;L'!T13),0))+('Historical P&amp;L'!U13*MAX(('Historical P&amp;L'!V13/'Historical P&amp;L'!U13),0)),($C$11/'Historical P&amp;L'!$R$19)&gt;2,((($C$11/'Historical P&amp;L'!$R$19)-2)*'Historical P&amp;L'!S14)+('Historical P&amp;L'!T14)+('Historical P&amp;L'!U14)+((($C$11/'Historical P&amp;L'!$R$19)-2)*'Historical P&amp;L'!S13*(MAX(('Historical P&amp;L'!T13/'Historical P&amp;L'!S13),0)))+('Historical P&amp;L'!T13*(MAX(('Historical P&amp;L'!U13/'Historical P&amp;L'!T13),0)))+('Historical P&amp;L'!U13*MAX(('Historical P&amp;L'!V13/'Historical P&amp;L'!U13),0)))</f>
        <v>54.271328671328675</v>
      </c>
      <c r="G11" s="96" cm="1">
        <f t="array" ref="G11">_xlfn.IFS(($C$11/'Historical P&amp;L'!$R$19)&lt;=1,(($C$11/'Historical P&amp;L'!$R$19)*'Historical P&amp;L'!V14)+((($C$11/'Historical P&amp;L'!$R$19)*'Historical P&amp;L'!V13)*(MAX('Historical P&amp;L'!W13/'Historical P&amp;L'!V13,0))),AND(($C$11/'Historical P&amp;L'!$R$19)&gt;1,($C$11/'Historical P&amp;L'!$R$19)&lt;=2),((($C$11/'Historical P&amp;L'!$R$19)-1)*'Historical P&amp;L'!U14)+('Historical P&amp;L'!V14)+((($C$11/'Historical P&amp;L'!$R$19-1)*'Historical P&amp;L'!U13)*MAX(('Historical P&amp;L'!V13/'Historical P&amp;L'!U13),0))+('Historical P&amp;L'!V13*MAX(('Historical P&amp;L'!W13/'Historical P&amp;L'!V13),0)),($C$11/'Historical P&amp;L'!$R$19)&gt;2,((($C$11/'Historical P&amp;L'!$R$19)-2)*'Historical P&amp;L'!T14)+('Historical P&amp;L'!U14)+('Historical P&amp;L'!V14)+((($C$11/'Historical P&amp;L'!$R$19)-2)*'Historical P&amp;L'!T13*(MAX(('Historical P&amp;L'!U13/'Historical P&amp;L'!T13),0)))+('Historical P&amp;L'!U13*(MAX(('Historical P&amp;L'!V13/'Historical P&amp;L'!U13),0)))+('Historical P&amp;L'!V13*MAX(('Historical P&amp;L'!W13/'Historical P&amp;L'!V13),0)))</f>
        <v>37.231048951048948</v>
      </c>
      <c r="H11" s="96" cm="1">
        <f t="array" ref="H11">_xlfn.IFS(($C$11/'Historical P&amp;L'!$R$19)&lt;=1,(($C$11/'Historical P&amp;L'!$R$19)*'Historical P&amp;L'!W14)+((($C$11/'Historical P&amp;L'!$R$19)*'Historical P&amp;L'!W13)*(MAX('Historical P&amp;L'!X13/'Historical P&amp;L'!W13,0))),AND(($C$11/'Historical P&amp;L'!$R$19)&gt;1,($C$11/'Historical P&amp;L'!$R$19)&lt;=2),((($C$11/'Historical P&amp;L'!$R$19)-1)*'Historical P&amp;L'!V14)+('Historical P&amp;L'!W14)+((($C$11/'Historical P&amp;L'!$R$19-1)*'Historical P&amp;L'!V13)*MAX(('Historical P&amp;L'!W13/'Historical P&amp;L'!V13),0))+('Historical P&amp;L'!W13*MAX(('Historical P&amp;L'!X13/'Historical P&amp;L'!W13),0)),($C$11/'Historical P&amp;L'!$R$19)&gt;2,((($C$11/'Historical P&amp;L'!$R$19)-2)*'Historical P&amp;L'!U14)+('Historical P&amp;L'!V14)+('Historical P&amp;L'!W14)+((($C$11/'Historical P&amp;L'!$R$19)-2)*'Historical P&amp;L'!U13*(MAX(('Historical P&amp;L'!V13/'Historical P&amp;L'!U13),0)))+('Historical P&amp;L'!V13*(MAX(('Historical P&amp;L'!W13/'Historical P&amp;L'!V13),0)))+('Historical P&amp;L'!W13*MAX(('Historical P&amp;L'!X13/'Historical P&amp;L'!W13),0)))</f>
        <v>19.574545454545458</v>
      </c>
      <c r="I11" s="96" cm="1">
        <f t="array" ref="I11">_xlfn.IFS(($C$11/'Historical P&amp;L'!$R$19)&lt;=1,(($C$11/'Historical P&amp;L'!$R$19)*'Historical P&amp;L'!X14)+((($C$11/'Historical P&amp;L'!$R$19)*'Historical P&amp;L'!X13)*(MAX('Historical P&amp;L'!Y13/'Historical P&amp;L'!X13,0))),AND(($C$11/'Historical P&amp;L'!$R$19)&gt;1,($C$11/'Historical P&amp;L'!$R$19)&lt;=2),((($C$11/'Historical P&amp;L'!$R$19)-1)*'Historical P&amp;L'!W14)+('Historical P&amp;L'!X14)+((($C$11/'Historical P&amp;L'!$R$19-1)*'Historical P&amp;L'!W13)*MAX(('Historical P&amp;L'!X13/'Historical P&amp;L'!W13),0))+('Historical P&amp;L'!X13*MAX(('Historical P&amp;L'!Y13/'Historical P&amp;L'!X13),0)),($C$11/'Historical P&amp;L'!$R$19)&gt;2,((($C$11/'Historical P&amp;L'!$R$19)-2)*'Historical P&amp;L'!V14)+('Historical P&amp;L'!W14)+('Historical P&amp;L'!X14)+((($C$11/'Historical P&amp;L'!$R$19)-2)*'Historical P&amp;L'!V13*(MAX(('Historical P&amp;L'!W13/'Historical P&amp;L'!V13),0)))+('Historical P&amp;L'!W13*(MAX(('Historical P&amp;L'!X13/'Historical P&amp;L'!W13),0)))+('Historical P&amp;L'!X13*MAX(('Historical P&amp;L'!Y13/'Historical P&amp;L'!X13),0)))</f>
        <v>16.514685314685313</v>
      </c>
      <c r="J11" s="96" cm="1">
        <f t="array" ref="J11">_xlfn.IFS(($C$11/'Historical P&amp;L'!$R$19)&lt;=1,(($C$11/'Historical P&amp;L'!$R$19)*'Historical P&amp;L'!Y14)+((($C$11/'Historical P&amp;L'!$R$19)*'Historical P&amp;L'!Y13)*(MAX('Historical P&amp;L'!Z13/'Historical P&amp;L'!Y13,0))),AND(($C$11/'Historical P&amp;L'!$R$19)&gt;1,($C$11/'Historical P&amp;L'!$R$19)&lt;=2),((($C$11/'Historical P&amp;L'!$R$19)-1)*'Historical P&amp;L'!X14)+('Historical P&amp;L'!Y14)+((($C$11/'Historical P&amp;L'!$R$19-1)*'Historical P&amp;L'!X13)*MAX(('Historical P&amp;L'!Y13/'Historical P&amp;L'!X13),0))+('Historical P&amp;L'!Y13*MAX(('Historical P&amp;L'!Z13/'Historical P&amp;L'!Y13),0)),($C$11/'Historical P&amp;L'!$R$19)&gt;2,((($C$11/'Historical P&amp;L'!$R$19)-2)*'Historical P&amp;L'!W14)+('Historical P&amp;L'!X14)+('Historical P&amp;L'!Y14)+((($C$11/'Historical P&amp;L'!$R$19)-2)*'Historical P&amp;L'!W13*(MAX(('Historical P&amp;L'!X13/'Historical P&amp;L'!W13),0)))+('Historical P&amp;L'!X13*(MAX(('Historical P&amp;L'!Y13/'Historical P&amp;L'!X13),0)))+('Historical P&amp;L'!Y13*MAX(('Historical P&amp;L'!Z13/'Historical P&amp;L'!Y13),0)))</f>
        <v>27.147710550319246</v>
      </c>
      <c r="K11" s="96" cm="1">
        <f t="array" ref="K11">_xlfn.IFS(($C$11/'Historical P&amp;L'!$R$19)&lt;=1,(($C$11/'Historical P&amp;L'!$R$19)*'Historical P&amp;L'!Z14)+((($C$11/'Historical P&amp;L'!$R$19)*'Historical P&amp;L'!Z13)*(MAX('Historical P&amp;L'!AA13/'Historical P&amp;L'!Z13,0))),AND(($C$11/'Historical P&amp;L'!$R$19)&gt;1,($C$11/'Historical P&amp;L'!$R$19)&lt;=2),((($C$11/'Historical P&amp;L'!$R$19)-1)*'Historical P&amp;L'!Y14)+('Historical P&amp;L'!Z14)+((($C$11/'Historical P&amp;L'!$R$19-1)*'Historical P&amp;L'!Y13)*MAX(('Historical P&amp;L'!Z13/'Historical P&amp;L'!Y13),0))+('Historical P&amp;L'!Z13*MAX(('Historical P&amp;L'!AA13/'Historical P&amp;L'!Z13),0)),($C$11/'Historical P&amp;L'!$R$19)&gt;2,((($C$11/'Historical P&amp;L'!$R$19)-2)*'Historical P&amp;L'!X14)+('Historical P&amp;L'!Y14)+('Historical P&amp;L'!Z14)+((($C$11/'Historical P&amp;L'!$R$19)-2)*'Historical P&amp;L'!X13*(MAX(('Historical P&amp;L'!Y13/'Historical P&amp;L'!X13),0)))+('Historical P&amp;L'!Y13*(MAX(('Historical P&amp;L'!Z13/'Historical P&amp;L'!Y13),0)))+('Historical P&amp;L'!Z13*MAX(('Historical P&amp;L'!AA13/'Historical P&amp;L'!Z13),0)))</f>
        <v>43.572508361204015</v>
      </c>
      <c r="L11" s="96" cm="1">
        <f t="array" ref="L11">_xlfn.IFS(($C$11/'Historical P&amp;L'!$R$19)&lt;=1,(($C$11/'Historical P&amp;L'!$R$19)*'Historical P&amp;L'!AA14)+((($C$11/'Historical P&amp;L'!$R$19)*'Historical P&amp;L'!AA13)*(MAX('Historical P&amp;L'!AB13/'Historical P&amp;L'!AA13,0))),AND(($C$11/'Historical P&amp;L'!$R$19)&gt;1,($C$11/'Historical P&amp;L'!$R$19)&lt;=2),((($C$11/'Historical P&amp;L'!$R$19)-1)*'Historical P&amp;L'!Z14)+('Historical P&amp;L'!AA14)+((($C$11/'Historical P&amp;L'!$R$19-1)*'Historical P&amp;L'!Z13)*MAX(('Historical P&amp;L'!AA13/'Historical P&amp;L'!Z13),0))+('Historical P&amp;L'!AA13*MAX(('Historical P&amp;L'!AB13/'Historical P&amp;L'!AA13),0)),($C$11/'Historical P&amp;L'!$R$19)&gt;2,((($C$11/'Historical P&amp;L'!$R$19)-2)*'Historical P&amp;L'!Y14)+('Historical P&amp;L'!Z14)+('Historical P&amp;L'!AA14)+((($C$11/'Historical P&amp;L'!$R$19)-2)*'Historical P&amp;L'!Y13*(MAX(('Historical P&amp;L'!Z13/'Historical P&amp;L'!Y13),0)))+('Historical P&amp;L'!Z13*(MAX(('Historical P&amp;L'!AA13/'Historical P&amp;L'!Z13),0)))+('Historical P&amp;L'!AA13*MAX(('Historical P&amp;L'!AB13/'Historical P&amp;L'!AA13),0)))</f>
        <v>62.185379837553747</v>
      </c>
      <c r="M11" s="96" cm="1">
        <f t="array" ref="M11">_xlfn.IFS(($C$11/'Historical P&amp;L'!$R$19)&lt;=1,(($C$11/'Historical P&amp;L'!$R$19)*'Historical P&amp;L'!AB14)+((($C$11/'Historical P&amp;L'!$R$19)*'Historical P&amp;L'!AB13)*(MAX('Historical P&amp;L'!AC13/'Historical P&amp;L'!AB13,0))),AND(($C$11/'Historical P&amp;L'!$R$19)&gt;1,($C$11/'Historical P&amp;L'!$R$19)&lt;=2),((($C$11/'Historical P&amp;L'!$R$19)-1)*'Historical P&amp;L'!AA14)+('Historical P&amp;L'!AB14)+((($C$11/'Historical P&amp;L'!$R$19-1)*'Historical P&amp;L'!AA13)*MAX(('Historical P&amp;L'!AB13/'Historical P&amp;L'!AA13),0))+('Historical P&amp;L'!AB13*MAX(('Historical P&amp;L'!AC13/'Historical P&amp;L'!AB13),0)),($C$11/'Historical P&amp;L'!$R$19)&gt;2,((($C$11/'Historical P&amp;L'!$R$19)-2)*'Historical P&amp;L'!Z14)+('Historical P&amp;L'!AA14)+('Historical P&amp;L'!AB14)+((($C$11/'Historical P&amp;L'!$R$19)-2)*'Historical P&amp;L'!Z13*(MAX(('Historical P&amp;L'!AA13/'Historical P&amp;L'!Z13),0)))+('Historical P&amp;L'!AA13*(MAX(('Historical P&amp;L'!AB13/'Historical P&amp;L'!AA13),0)))+('Historical P&amp;L'!AB13*MAX(('Historical P&amp;L'!AC13/'Historical P&amp;L'!AB13),0)))</f>
        <v>71.197469197469204</v>
      </c>
      <c r="N11" s="96" cm="1">
        <f t="array" ref="N11">_xlfn.IFS(($C$11/'Historical P&amp;L'!$R$19)&lt;=1,(($C$11/'Historical P&amp;L'!$R$19)*'Historical P&amp;L'!AC14)+((($C$11/'Historical P&amp;L'!$R$19)*'Historical P&amp;L'!AC13)*(MAX('Historical P&amp;L'!AD13/'Historical P&amp;L'!AC13,0))),AND(($C$11/'Historical P&amp;L'!$R$19)&gt;1,($C$11/'Historical P&amp;L'!$R$19)&lt;=2),((($C$11/'Historical P&amp;L'!$R$19)-1)*'Historical P&amp;L'!AB14)+('Historical P&amp;L'!AC14)+((($C$11/'Historical P&amp;L'!$R$19-1)*'Historical P&amp;L'!AB13)*MAX(('Historical P&amp;L'!AC13/'Historical P&amp;L'!AB13),0))+('Historical P&amp;L'!AC13*MAX(('Historical P&amp;L'!AD13/'Historical P&amp;L'!AC13),0)),($C$11/'Historical P&amp;L'!$R$19)&gt;2,((($C$11/'Historical P&amp;L'!$R$19)-2)*'Historical P&amp;L'!AA14)+('Historical P&amp;L'!AB14)+('Historical P&amp;L'!AC14)+((($C$11/'Historical P&amp;L'!$R$19)-2)*'Historical P&amp;L'!AA13*(MAX(('Historical P&amp;L'!AB13/'Historical P&amp;L'!AA13),0)))+('Historical P&amp;L'!AB13*(MAX(('Historical P&amp;L'!AC13/'Historical P&amp;L'!AB13),0)))+('Historical P&amp;L'!AC13*MAX(('Historical P&amp;L'!AD13/'Historical P&amp;L'!AC13),0)))</f>
        <v>81.149050949050945</v>
      </c>
      <c r="O11" s="96" cm="1">
        <f t="array" ref="O11">_xlfn.IFS(($C$11/'Historical P&amp;L'!$R$19)&lt;=1,(($C$11/'Historical P&amp;L'!$R$19)*'Historical P&amp;L'!AD14)+((($C$11/'Historical P&amp;L'!$R$19)*'Historical P&amp;L'!AD13)*(MAX('Historical P&amp;L'!AE13/'Historical P&amp;L'!AD13,0))),AND(($C$11/'Historical P&amp;L'!$R$19)&gt;1,($C$11/'Historical P&amp;L'!$R$19)&lt;=2),((($C$11/'Historical P&amp;L'!$R$19)-1)*'Historical P&amp;L'!AC14)+('Historical P&amp;L'!AD14)+((($C$11/'Historical P&amp;L'!$R$19-1)*'Historical P&amp;L'!AC13)*MAX(('Historical P&amp;L'!AD13/'Historical P&amp;L'!AC13),0))+('Historical P&amp;L'!AD13*MAX(('Historical P&amp;L'!AE13/'Historical P&amp;L'!AD13),0)),($C$11/'Historical P&amp;L'!$R$19)&gt;2,((($C$11/'Historical P&amp;L'!$R$19)-2)*'Historical P&amp;L'!AB14)+('Historical P&amp;L'!AC14)+('Historical P&amp;L'!AD14)+((($C$11/'Historical P&amp;L'!$R$19)-2)*'Historical P&amp;L'!AB13*(MAX(('Historical P&amp;L'!AC13/'Historical P&amp;L'!AB13),0)))+('Historical P&amp;L'!AC13*(MAX(('Historical P&amp;L'!AD13/'Historical P&amp;L'!AC13),0)))+('Historical P&amp;L'!AD13*MAX(('Historical P&amp;L'!AE13/'Historical P&amp;L'!AD13),0)))</f>
        <v>89.934965034965046</v>
      </c>
    </row>
    <row r="12" spans="1:17">
      <c r="A12" t="s">
        <v>53</v>
      </c>
      <c r="B12" s="38"/>
      <c r="C12" s="94">
        <v>0</v>
      </c>
      <c r="D12" s="96">
        <f>C12-C13</f>
        <v>0</v>
      </c>
      <c r="E12" s="96">
        <f t="shared" ref="E12:O12" si="0">D12-D13</f>
        <v>0</v>
      </c>
      <c r="F12" s="96">
        <f t="shared" si="0"/>
        <v>0</v>
      </c>
      <c r="G12" s="96">
        <f t="shared" si="0"/>
        <v>0</v>
      </c>
      <c r="H12" s="96">
        <f t="shared" si="0"/>
        <v>0</v>
      </c>
      <c r="I12" s="96">
        <f t="shared" si="0"/>
        <v>0</v>
      </c>
      <c r="J12" s="96">
        <f t="shared" si="0"/>
        <v>0</v>
      </c>
      <c r="K12" s="96">
        <f t="shared" si="0"/>
        <v>0</v>
      </c>
      <c r="L12" s="96">
        <f t="shared" si="0"/>
        <v>0</v>
      </c>
      <c r="M12" s="96">
        <f t="shared" si="0"/>
        <v>0</v>
      </c>
      <c r="N12" s="96">
        <f t="shared" si="0"/>
        <v>0</v>
      </c>
      <c r="O12" s="96">
        <f t="shared" si="0"/>
        <v>0</v>
      </c>
    </row>
    <row r="13" spans="1:17">
      <c r="A13" t="s">
        <v>81</v>
      </c>
      <c r="B13" s="38" t="s">
        <v>14</v>
      </c>
      <c r="C13" s="94">
        <v>0</v>
      </c>
      <c r="D13" s="96">
        <f>C13</f>
        <v>0</v>
      </c>
      <c r="E13" s="96">
        <f t="shared" ref="E13:O13" si="1">D13</f>
        <v>0</v>
      </c>
      <c r="F13" s="96">
        <f t="shared" si="1"/>
        <v>0</v>
      </c>
      <c r="G13" s="96">
        <f t="shared" si="1"/>
        <v>0</v>
      </c>
      <c r="H13" s="96">
        <f t="shared" si="1"/>
        <v>0</v>
      </c>
      <c r="I13" s="96">
        <f t="shared" si="1"/>
        <v>0</v>
      </c>
      <c r="J13" s="96">
        <f t="shared" si="1"/>
        <v>0</v>
      </c>
      <c r="K13" s="96">
        <f t="shared" si="1"/>
        <v>0</v>
      </c>
      <c r="L13" s="96">
        <f t="shared" si="1"/>
        <v>0</v>
      </c>
      <c r="M13" s="96">
        <f t="shared" si="1"/>
        <v>0</v>
      </c>
      <c r="N13" s="96">
        <f t="shared" si="1"/>
        <v>0</v>
      </c>
      <c r="O13" s="96">
        <f t="shared" si="1"/>
        <v>0</v>
      </c>
    </row>
    <row r="14" spans="1:17">
      <c r="A14" t="s">
        <v>121</v>
      </c>
      <c r="C14" s="94"/>
      <c r="D14" s="94"/>
      <c r="E14" s="94"/>
      <c r="F14" s="94"/>
      <c r="G14" s="94"/>
      <c r="H14" s="94"/>
      <c r="I14" s="94"/>
      <c r="J14" s="94"/>
      <c r="K14" s="94"/>
      <c r="L14" s="94"/>
      <c r="M14" s="94"/>
      <c r="N14" s="94"/>
      <c r="O14" s="94"/>
    </row>
    <row r="15" spans="1:17">
      <c r="A15" t="s">
        <v>70</v>
      </c>
      <c r="B15" s="45"/>
      <c r="C15" s="94"/>
      <c r="D15" s="94"/>
      <c r="E15" s="94"/>
      <c r="F15" s="94"/>
      <c r="G15" s="94"/>
      <c r="H15" s="94"/>
      <c r="I15" s="94"/>
      <c r="J15" s="94"/>
      <c r="K15" s="94"/>
      <c r="L15" s="94"/>
      <c r="M15" s="94"/>
      <c r="N15" s="94"/>
      <c r="O15" s="94"/>
    </row>
    <row r="16" spans="1:17">
      <c r="A16" t="s">
        <v>14</v>
      </c>
      <c r="C16" s="36"/>
      <c r="D16" s="42" t="s">
        <v>14</v>
      </c>
      <c r="E16" s="58"/>
      <c r="F16" s="58"/>
      <c r="G16" s="58"/>
      <c r="H16" s="58"/>
      <c r="I16" s="58"/>
      <c r="J16" s="58"/>
      <c r="K16" s="58"/>
      <c r="L16" s="58"/>
      <c r="M16" s="58"/>
    </row>
    <row r="20" spans="2:2">
      <c r="B20" s="45"/>
    </row>
    <row r="25" spans="2:2">
      <c r="B25" s="45"/>
    </row>
    <row r="29" spans="2:2">
      <c r="B29" s="45"/>
    </row>
    <row r="34" spans="2:2">
      <c r="B34" s="45"/>
    </row>
    <row r="40" spans="2:2">
      <c r="B40" s="45"/>
    </row>
    <row r="45" spans="2:2">
      <c r="B45" s="45"/>
    </row>
    <row r="49" spans="2:2">
      <c r="B49" s="37" t="s">
        <v>14</v>
      </c>
    </row>
    <row r="51" spans="2:2">
      <c r="B51" s="45"/>
    </row>
    <row r="56" spans="2:2">
      <c r="B56" s="45"/>
    </row>
    <row r="61" spans="2:2">
      <c r="B61" s="4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27F6D-D59C-4AE3-B899-19BE46DD4018}">
  <dimension ref="A1:N101"/>
  <sheetViews>
    <sheetView zoomScale="80" zoomScaleNormal="80" workbookViewId="0">
      <pane xSplit="2" ySplit="5" topLeftCell="C6" activePane="bottomRight" state="frozen"/>
      <selection pane="topRight" activeCell="C1" sqref="C1"/>
      <selection pane="bottomLeft" activeCell="A6" sqref="A6"/>
      <selection pane="bottomRight" activeCell="C6" sqref="C6"/>
    </sheetView>
  </sheetViews>
  <sheetFormatPr defaultRowHeight="14.4"/>
  <cols>
    <col min="1" max="1" width="82.33203125" bestFit="1" customWidth="1"/>
    <col min="2" max="2" width="2" style="37" customWidth="1"/>
    <col min="3" max="13" width="11.6640625" customWidth="1"/>
  </cols>
  <sheetData>
    <row r="1" spans="1:14" ht="21">
      <c r="A1" s="70" t="s">
        <v>118</v>
      </c>
      <c r="C1" s="13">
        <v>43951</v>
      </c>
      <c r="D1" s="13">
        <v>43982</v>
      </c>
      <c r="E1" s="13">
        <v>44012</v>
      </c>
      <c r="F1" s="13">
        <v>44043</v>
      </c>
      <c r="G1" s="13">
        <v>44074</v>
      </c>
      <c r="H1" s="13">
        <v>44104</v>
      </c>
      <c r="I1" s="13">
        <v>44135</v>
      </c>
      <c r="J1" s="13">
        <v>44165</v>
      </c>
      <c r="K1" s="13">
        <v>44196</v>
      </c>
      <c r="L1" s="13">
        <v>44227</v>
      </c>
      <c r="M1" s="13">
        <v>44255</v>
      </c>
      <c r="N1" t="s">
        <v>14</v>
      </c>
    </row>
    <row r="2" spans="1:14" s="1" customFormat="1">
      <c r="A2" s="1" t="s">
        <v>100</v>
      </c>
      <c r="B2" s="45"/>
      <c r="C2" s="85">
        <f>Cash!D6</f>
        <v>13</v>
      </c>
      <c r="D2" s="88">
        <f>C5</f>
        <v>15.999999999999986</v>
      </c>
      <c r="E2" s="88">
        <f>D5</f>
        <v>36.694055944055918</v>
      </c>
      <c r="F2" s="88">
        <f t="shared" ref="F2:M2" si="0">E5</f>
        <v>54.21522508741257</v>
      </c>
      <c r="G2" s="88">
        <f t="shared" si="0"/>
        <v>73.999637784090893</v>
      </c>
      <c r="H2" s="88">
        <f t="shared" si="0"/>
        <v>97.180941529173936</v>
      </c>
      <c r="I2" s="88">
        <f t="shared" si="0"/>
        <v>99.535538220812384</v>
      </c>
      <c r="J2" s="88">
        <f t="shared" si="0"/>
        <v>79.199845927353564</v>
      </c>
      <c r="K2" s="88">
        <f t="shared" si="0"/>
        <v>48.620111761844242</v>
      </c>
      <c r="L2" s="88">
        <f t="shared" si="0"/>
        <v>17.403864508702878</v>
      </c>
      <c r="M2" s="88">
        <f t="shared" si="0"/>
        <v>-1.4867974957687906</v>
      </c>
    </row>
    <row r="3" spans="1:14" s="1" customFormat="1">
      <c r="A3" s="1" t="s">
        <v>99</v>
      </c>
      <c r="B3" s="45"/>
      <c r="C3" s="85">
        <f>Cash!E6</f>
        <v>15.999999999999986</v>
      </c>
      <c r="D3" s="88">
        <f>D2+(Cash!F6-Cash!E6)</f>
        <v>36.694055944055918</v>
      </c>
      <c r="E3" s="88">
        <f>E2+(Cash!G6-Cash!F6)</f>
        <v>54.21522508741257</v>
      </c>
      <c r="F3" s="88">
        <f>F2+(Cash!H6-Cash!G6)</f>
        <v>73.999637784090893</v>
      </c>
      <c r="G3" s="88">
        <f>G2+(Cash!I6-Cash!H6)</f>
        <v>97.180941529173936</v>
      </c>
      <c r="H3" s="88">
        <f>H2+(Cash!J6-Cash!I6)</f>
        <v>99.535538220812384</v>
      </c>
      <c r="I3" s="88">
        <f>I2+(Cash!K6-Cash!J6)</f>
        <v>79.199845927353564</v>
      </c>
      <c r="J3" s="88">
        <f>J2+(Cash!L6-Cash!K6)</f>
        <v>48.620111761844242</v>
      </c>
      <c r="K3" s="88">
        <f>K2+(Cash!M6-Cash!L6)</f>
        <v>17.403864508702878</v>
      </c>
      <c r="L3" s="88">
        <f>L2+(Cash!N6-Cash!M6)</f>
        <v>-1.4867974957687906</v>
      </c>
      <c r="M3" s="88">
        <f>M2+(Cash!O6-Cash!N6)</f>
        <v>-16.113484894337319</v>
      </c>
    </row>
    <row r="4" spans="1:14" s="1" customFormat="1">
      <c r="A4" s="1" t="s">
        <v>73</v>
      </c>
      <c r="B4" s="45"/>
      <c r="C4" s="85">
        <f>C11-(C16+C21+C26+C30+C35+C41+C46)+C52+C57+C62</f>
        <v>0</v>
      </c>
      <c r="D4" s="85">
        <f t="shared" ref="D4:M4" si="1">D11-(D16+D21+D26+D30+D35+D41+D46)+D52+D57+D62</f>
        <v>0</v>
      </c>
      <c r="E4" s="85">
        <f t="shared" si="1"/>
        <v>0</v>
      </c>
      <c r="F4" s="85">
        <f t="shared" si="1"/>
        <v>0</v>
      </c>
      <c r="G4" s="85">
        <f t="shared" si="1"/>
        <v>0</v>
      </c>
      <c r="H4" s="85">
        <f t="shared" si="1"/>
        <v>0</v>
      </c>
      <c r="I4" s="85">
        <f t="shared" si="1"/>
        <v>0</v>
      </c>
      <c r="J4" s="85">
        <f t="shared" si="1"/>
        <v>0</v>
      </c>
      <c r="K4" s="85">
        <f t="shared" si="1"/>
        <v>0</v>
      </c>
      <c r="L4" s="85">
        <f t="shared" si="1"/>
        <v>0</v>
      </c>
      <c r="M4" s="85">
        <f t="shared" si="1"/>
        <v>0</v>
      </c>
    </row>
    <row r="5" spans="1:14" s="1" customFormat="1">
      <c r="A5" s="1" t="s">
        <v>76</v>
      </c>
      <c r="B5" s="45"/>
      <c r="C5" s="85">
        <f>C3+C4</f>
        <v>15.999999999999986</v>
      </c>
      <c r="D5" s="85">
        <f t="shared" ref="D5:M5" si="2">D3+D4</f>
        <v>36.694055944055918</v>
      </c>
      <c r="E5" s="85">
        <f t="shared" si="2"/>
        <v>54.21522508741257</v>
      </c>
      <c r="F5" s="85">
        <f t="shared" si="2"/>
        <v>73.999637784090893</v>
      </c>
      <c r="G5" s="85">
        <f t="shared" si="2"/>
        <v>97.180941529173936</v>
      </c>
      <c r="H5" s="85">
        <f t="shared" si="2"/>
        <v>99.535538220812384</v>
      </c>
      <c r="I5" s="85">
        <f t="shared" si="2"/>
        <v>79.199845927353564</v>
      </c>
      <c r="J5" s="85">
        <f t="shared" si="2"/>
        <v>48.620111761844242</v>
      </c>
      <c r="K5" s="85">
        <f t="shared" si="2"/>
        <v>17.403864508702878</v>
      </c>
      <c r="L5" s="85">
        <f t="shared" si="2"/>
        <v>-1.4867974957687906</v>
      </c>
      <c r="M5" s="85">
        <f t="shared" si="2"/>
        <v>-16.113484894337319</v>
      </c>
    </row>
    <row r="6" spans="1:14">
      <c r="C6" s="6"/>
      <c r="D6" s="6"/>
      <c r="E6" s="6"/>
      <c r="F6" s="6"/>
      <c r="G6" s="6"/>
      <c r="H6" s="6"/>
      <c r="I6" s="6"/>
      <c r="J6" s="6"/>
      <c r="K6" s="6"/>
      <c r="L6" s="6"/>
      <c r="M6" s="6"/>
    </row>
    <row r="7" spans="1:14">
      <c r="A7" s="1" t="s">
        <v>84</v>
      </c>
      <c r="C7" s="6"/>
      <c r="D7" s="6"/>
      <c r="E7" s="6"/>
      <c r="F7" s="6"/>
      <c r="G7" s="6"/>
      <c r="H7" s="6"/>
      <c r="I7" s="6"/>
      <c r="J7" s="6"/>
      <c r="K7" s="6"/>
      <c r="L7" s="6"/>
      <c r="M7" s="6"/>
    </row>
    <row r="8" spans="1:14">
      <c r="A8" t="s">
        <v>86</v>
      </c>
      <c r="C8" s="26">
        <f>'Historical P&amp;L'!T22</f>
        <v>0.21999999999999997</v>
      </c>
      <c r="D8" s="26">
        <f>'Historical P&amp;L'!U22</f>
        <v>0.21999999999999997</v>
      </c>
      <c r="E8" s="26">
        <f>'Historical P&amp;L'!V22</f>
        <v>0.21999999999999983</v>
      </c>
      <c r="F8" s="26">
        <f>'Historical P&amp;L'!W22</f>
        <v>0.22000000000000006</v>
      </c>
      <c r="G8" s="26">
        <f>'Historical P&amp;L'!X22</f>
        <v>0.21999999999999983</v>
      </c>
      <c r="H8" s="26">
        <f>'Historical P&amp;L'!Y22</f>
        <v>0.22000000000000006</v>
      </c>
      <c r="I8" s="26">
        <f>'Historical P&amp;L'!Z22</f>
        <v>0.21999999999999995</v>
      </c>
      <c r="J8" s="26">
        <f>'Historical P&amp;L'!AA22</f>
        <v>0.22000000000000006</v>
      </c>
      <c r="K8" s="26">
        <f>'Historical P&amp;L'!AB22</f>
        <v>0.22000000000000006</v>
      </c>
      <c r="L8" s="26">
        <f>'Historical P&amp;L'!AC22</f>
        <v>0.21999999999999981</v>
      </c>
      <c r="M8" s="26">
        <f>'Historical P&amp;L'!AD22</f>
        <v>0.21999999999999995</v>
      </c>
    </row>
    <row r="9" spans="1:14">
      <c r="A9" s="27" t="s">
        <v>87</v>
      </c>
      <c r="C9" s="101"/>
      <c r="D9" s="101"/>
      <c r="E9" s="101"/>
      <c r="F9" s="101"/>
      <c r="G9" s="101"/>
      <c r="H9" s="101"/>
      <c r="I9" s="101"/>
      <c r="J9" s="101"/>
      <c r="K9" s="101"/>
      <c r="L9" s="101"/>
      <c r="M9" s="101"/>
    </row>
    <row r="10" spans="1:14">
      <c r="A10" t="s">
        <v>88</v>
      </c>
      <c r="C10" s="90">
        <f>'Historical P&amp;L'!T10*(C9/10000)</f>
        <v>0</v>
      </c>
      <c r="D10" s="90">
        <f>'Historical P&amp;L'!U10*((SUM($C9:D9))/10000)</f>
        <v>0</v>
      </c>
      <c r="E10" s="90">
        <f>'Historical P&amp;L'!V10*((SUM($C9:E9))/10000)</f>
        <v>0</v>
      </c>
      <c r="F10" s="90">
        <f>'Historical P&amp;L'!W10*((SUM($C9:F9))/10000)</f>
        <v>0</v>
      </c>
      <c r="G10" s="90">
        <f>'Historical P&amp;L'!X10*((SUM($C9:G9))/10000)</f>
        <v>0</v>
      </c>
      <c r="H10" s="90">
        <f>'Historical P&amp;L'!Y10*((SUM($C9:H9))/10000)</f>
        <v>0</v>
      </c>
      <c r="I10" s="90">
        <f>'Historical P&amp;L'!Z10*((SUM($C9:I9))/10000)</f>
        <v>0</v>
      </c>
      <c r="J10" s="90">
        <f>'Historical P&amp;L'!AA10*((SUM($C9:J9))/10000)</f>
        <v>0</v>
      </c>
      <c r="K10" s="90">
        <f>'Historical P&amp;L'!AB10*((SUM($C9:K9))/10000)</f>
        <v>0</v>
      </c>
      <c r="L10" s="90">
        <f>'Historical P&amp;L'!AC10*((SUM($C9:L9))/10000)</f>
        <v>0</v>
      </c>
      <c r="M10" s="90">
        <f>'Historical P&amp;L'!AD10*((SUM($C9:M9))/10000)</f>
        <v>0</v>
      </c>
    </row>
    <row r="11" spans="1:14">
      <c r="A11" s="1" t="s">
        <v>91</v>
      </c>
      <c r="C11" s="85">
        <f>C10</f>
        <v>0</v>
      </c>
      <c r="D11" s="85">
        <f t="shared" ref="D11:M11" si="3">D10</f>
        <v>0</v>
      </c>
      <c r="E11" s="85">
        <f t="shared" si="3"/>
        <v>0</v>
      </c>
      <c r="F11" s="85">
        <f t="shared" si="3"/>
        <v>0</v>
      </c>
      <c r="G11" s="85">
        <f t="shared" si="3"/>
        <v>0</v>
      </c>
      <c r="H11" s="85">
        <f t="shared" si="3"/>
        <v>0</v>
      </c>
      <c r="I11" s="85">
        <f t="shared" si="3"/>
        <v>0</v>
      </c>
      <c r="J11" s="85">
        <f t="shared" si="3"/>
        <v>0</v>
      </c>
      <c r="K11" s="85">
        <f t="shared" si="3"/>
        <v>0</v>
      </c>
      <c r="L11" s="85">
        <f t="shared" si="3"/>
        <v>0</v>
      </c>
      <c r="M11" s="85">
        <f t="shared" si="3"/>
        <v>0</v>
      </c>
    </row>
    <row r="13" spans="1:14">
      <c r="A13" s="1" t="s">
        <v>1</v>
      </c>
      <c r="B13" s="38"/>
      <c r="D13" s="23"/>
      <c r="E13" s="23"/>
      <c r="F13" s="23"/>
      <c r="G13" s="23"/>
      <c r="H13" s="23"/>
      <c r="I13" s="23"/>
      <c r="J13" s="23"/>
      <c r="K13" s="23"/>
      <c r="L13" s="23"/>
      <c r="M13" s="23"/>
    </row>
    <row r="14" spans="1:14">
      <c r="A14" s="24" t="s">
        <v>74</v>
      </c>
      <c r="B14" s="38" t="s">
        <v>14</v>
      </c>
      <c r="C14" s="102"/>
      <c r="D14" s="102"/>
      <c r="E14" s="102"/>
      <c r="F14" s="102"/>
      <c r="G14" s="102"/>
      <c r="H14" s="102"/>
      <c r="I14" s="102"/>
      <c r="J14" s="102"/>
      <c r="K14" s="102"/>
      <c r="L14" s="102"/>
      <c r="M14" s="102"/>
    </row>
    <row r="15" spans="1:14">
      <c r="A15" s="3" t="s">
        <v>75</v>
      </c>
      <c r="C15" s="103"/>
      <c r="D15" s="103"/>
      <c r="E15" s="103"/>
      <c r="F15" s="103"/>
      <c r="G15" s="103"/>
      <c r="H15" s="103"/>
      <c r="I15" s="103"/>
      <c r="J15" s="103"/>
      <c r="K15" s="103"/>
      <c r="L15" s="103"/>
      <c r="M15" s="103"/>
    </row>
    <row r="16" spans="1:14" s="1" customFormat="1">
      <c r="A16" s="31" t="s">
        <v>92</v>
      </c>
      <c r="B16" s="45"/>
      <c r="C16" s="85">
        <f>SUM($C14:C15)</f>
        <v>0</v>
      </c>
      <c r="D16" s="85">
        <f>SUM($C14:D15)</f>
        <v>0</v>
      </c>
      <c r="E16" s="85">
        <f>SUM($C14:E15)</f>
        <v>0</v>
      </c>
      <c r="F16" s="85">
        <f>SUM($C14:F15)</f>
        <v>0</v>
      </c>
      <c r="G16" s="85">
        <f>SUM($C14:G15)</f>
        <v>0</v>
      </c>
      <c r="H16" s="85">
        <f>SUM($C14:H15)</f>
        <v>0</v>
      </c>
      <c r="I16" s="85">
        <f>SUM($C14:I15)</f>
        <v>0</v>
      </c>
      <c r="J16" s="85">
        <f>SUM($C14:J15)</f>
        <v>0</v>
      </c>
      <c r="K16" s="85">
        <f>SUM($C14:K15)</f>
        <v>0</v>
      </c>
      <c r="L16" s="85">
        <f>SUM($C14:L15)</f>
        <v>0</v>
      </c>
      <c r="M16" s="85">
        <f>SUM($C14:M15)</f>
        <v>0</v>
      </c>
    </row>
    <row r="17" spans="1:13">
      <c r="A17" s="3"/>
      <c r="C17" s="32"/>
      <c r="D17" s="32"/>
      <c r="E17" s="32"/>
      <c r="F17" s="32"/>
      <c r="G17" s="32"/>
      <c r="H17" s="32"/>
      <c r="I17" s="32"/>
      <c r="J17" s="32"/>
      <c r="K17" s="32"/>
      <c r="L17" s="32"/>
      <c r="M17" s="32"/>
    </row>
    <row r="18" spans="1:13">
      <c r="A18" s="1" t="s">
        <v>2</v>
      </c>
      <c r="C18" s="33"/>
      <c r="D18" s="33"/>
      <c r="E18" s="33"/>
      <c r="F18" s="33"/>
      <c r="G18" s="33"/>
      <c r="H18" s="33"/>
      <c r="I18" s="33"/>
      <c r="J18" s="33"/>
      <c r="K18" s="33"/>
      <c r="L18" s="33"/>
      <c r="M18" s="33"/>
    </row>
    <row r="19" spans="1:13">
      <c r="A19" s="3" t="s">
        <v>74</v>
      </c>
      <c r="C19" s="102"/>
      <c r="D19" s="102"/>
      <c r="E19" s="102"/>
      <c r="F19" s="102"/>
      <c r="G19" s="102"/>
      <c r="H19" s="102"/>
      <c r="I19" s="102"/>
      <c r="J19" s="102"/>
      <c r="K19" s="102"/>
      <c r="L19" s="102"/>
      <c r="M19" s="102"/>
    </row>
    <row r="20" spans="1:13">
      <c r="A20" s="3" t="s">
        <v>75</v>
      </c>
      <c r="C20" s="103"/>
      <c r="D20" s="103"/>
      <c r="E20" s="103"/>
      <c r="F20" s="103"/>
      <c r="G20" s="103"/>
      <c r="H20" s="103"/>
      <c r="I20" s="103"/>
      <c r="J20" s="103"/>
      <c r="K20" s="103"/>
      <c r="L20" s="103"/>
      <c r="M20" s="103"/>
    </row>
    <row r="21" spans="1:13" s="8" customFormat="1">
      <c r="A21" s="35" t="s">
        <v>93</v>
      </c>
      <c r="B21" s="45"/>
      <c r="C21" s="85">
        <f>SUM($C19:C20)</f>
        <v>0</v>
      </c>
      <c r="D21" s="85">
        <f>SUM($C19:D20)</f>
        <v>0</v>
      </c>
      <c r="E21" s="85">
        <f>SUM($C19:E20)</f>
        <v>0</v>
      </c>
      <c r="F21" s="85">
        <f>SUM($C19:F20)</f>
        <v>0</v>
      </c>
      <c r="G21" s="85">
        <f>SUM($C19:G20)</f>
        <v>0</v>
      </c>
      <c r="H21" s="85">
        <f>SUM($C19:H20)</f>
        <v>0</v>
      </c>
      <c r="I21" s="85">
        <f>SUM($C19:I20)</f>
        <v>0</v>
      </c>
      <c r="J21" s="85">
        <f>SUM($C19:J20)</f>
        <v>0</v>
      </c>
      <c r="K21" s="85">
        <f>SUM($C19:K20)</f>
        <v>0</v>
      </c>
      <c r="L21" s="85">
        <f>SUM($C19:L20)</f>
        <v>0</v>
      </c>
      <c r="M21" s="85">
        <f>SUM($C19:M20)</f>
        <v>0</v>
      </c>
    </row>
    <row r="22" spans="1:13" s="9" customFormat="1">
      <c r="A22" s="34"/>
      <c r="B22" s="37"/>
      <c r="C22" s="32"/>
      <c r="D22" s="32"/>
      <c r="E22" s="32"/>
      <c r="F22" s="32"/>
      <c r="G22" s="32"/>
      <c r="H22" s="32"/>
      <c r="I22" s="32"/>
      <c r="J22" s="32"/>
      <c r="K22" s="32"/>
      <c r="L22" s="32"/>
      <c r="M22" s="32"/>
    </row>
    <row r="23" spans="1:13">
      <c r="A23" s="1" t="s">
        <v>3</v>
      </c>
      <c r="C23" s="33"/>
      <c r="D23" s="33"/>
      <c r="E23" s="33"/>
      <c r="F23" s="33"/>
      <c r="G23" s="33"/>
      <c r="H23" s="33"/>
      <c r="I23" s="33"/>
      <c r="J23" s="33"/>
      <c r="K23" s="33"/>
      <c r="L23" s="33"/>
      <c r="M23" s="33"/>
    </row>
    <row r="24" spans="1:13">
      <c r="A24" s="3" t="s">
        <v>74</v>
      </c>
      <c r="C24" s="102"/>
      <c r="D24" s="102"/>
      <c r="E24" s="102"/>
      <c r="F24" s="102"/>
      <c r="G24" s="102"/>
      <c r="H24" s="102"/>
      <c r="I24" s="102"/>
      <c r="J24" s="102"/>
      <c r="K24" s="102"/>
      <c r="L24" s="102"/>
      <c r="M24" s="102"/>
    </row>
    <row r="25" spans="1:13">
      <c r="A25" s="3" t="s">
        <v>75</v>
      </c>
      <c r="C25" s="103"/>
      <c r="D25" s="103"/>
      <c r="E25" s="103"/>
      <c r="F25" s="103"/>
      <c r="G25" s="103"/>
      <c r="H25" s="103"/>
      <c r="I25" s="103"/>
      <c r="J25" s="103"/>
      <c r="K25" s="103"/>
      <c r="L25" s="103"/>
      <c r="M25" s="103"/>
    </row>
    <row r="26" spans="1:13" s="1" customFormat="1">
      <c r="A26" s="31" t="s">
        <v>94</v>
      </c>
      <c r="B26" s="45"/>
      <c r="C26" s="85">
        <f>SUM($C24:C25)</f>
        <v>0</v>
      </c>
      <c r="D26" s="85">
        <f>SUM($C24:D25)</f>
        <v>0</v>
      </c>
      <c r="E26" s="85">
        <f>SUM($C24:E25)</f>
        <v>0</v>
      </c>
      <c r="F26" s="85">
        <f>SUM($C24:F25)</f>
        <v>0</v>
      </c>
      <c r="G26" s="85">
        <f>SUM($C24:G25)</f>
        <v>0</v>
      </c>
      <c r="H26" s="85">
        <f>SUM($C24:H25)</f>
        <v>0</v>
      </c>
      <c r="I26" s="85">
        <f>SUM($C24:I25)</f>
        <v>0</v>
      </c>
      <c r="J26" s="85">
        <f>SUM($C24:J25)</f>
        <v>0</v>
      </c>
      <c r="K26" s="85">
        <f>SUM($C24:K25)</f>
        <v>0</v>
      </c>
      <c r="L26" s="85">
        <f>SUM($C24:L25)</f>
        <v>0</v>
      </c>
      <c r="M26" s="85">
        <f>SUM($C24:M25)</f>
        <v>0</v>
      </c>
    </row>
    <row r="27" spans="1:13">
      <c r="A27" s="3"/>
      <c r="C27" s="32"/>
      <c r="D27" s="32"/>
      <c r="E27" s="32"/>
      <c r="F27" s="32"/>
      <c r="G27" s="32"/>
      <c r="H27" s="32"/>
      <c r="I27" s="32"/>
      <c r="J27" s="32"/>
      <c r="K27" s="32"/>
      <c r="L27" s="32"/>
      <c r="M27" s="32"/>
    </row>
    <row r="28" spans="1:13">
      <c r="A28" s="1" t="s">
        <v>4</v>
      </c>
      <c r="C28" s="33"/>
      <c r="D28" s="33"/>
      <c r="E28" s="33"/>
      <c r="F28" s="33"/>
      <c r="G28" s="33"/>
      <c r="H28" s="33"/>
      <c r="I28" s="33"/>
      <c r="J28" s="33"/>
      <c r="K28" s="33"/>
      <c r="L28" s="33"/>
      <c r="M28" s="33"/>
    </row>
    <row r="29" spans="1:13">
      <c r="A29" s="3" t="s">
        <v>82</v>
      </c>
      <c r="C29" s="103"/>
      <c r="D29" s="103"/>
      <c r="E29" s="103"/>
      <c r="F29" s="103"/>
      <c r="G29" s="103"/>
      <c r="H29" s="103"/>
      <c r="I29" s="103"/>
      <c r="J29" s="103"/>
      <c r="K29" s="103"/>
      <c r="L29" s="103"/>
      <c r="M29" s="103"/>
    </row>
    <row r="30" spans="1:13" s="8" customFormat="1">
      <c r="A30" s="35" t="s">
        <v>95</v>
      </c>
      <c r="B30" s="45"/>
      <c r="C30" s="85">
        <f>SUM($C29:C29)</f>
        <v>0</v>
      </c>
      <c r="D30" s="85">
        <f>SUM($C29:D29)</f>
        <v>0</v>
      </c>
      <c r="E30" s="85">
        <f>SUM($C29:E29)</f>
        <v>0</v>
      </c>
      <c r="F30" s="85">
        <f>SUM($C29:F29)</f>
        <v>0</v>
      </c>
      <c r="G30" s="85">
        <f>SUM($C29:G29)</f>
        <v>0</v>
      </c>
      <c r="H30" s="85">
        <f>SUM($C29:H29)</f>
        <v>0</v>
      </c>
      <c r="I30" s="85">
        <f>SUM($C29:I29)</f>
        <v>0</v>
      </c>
      <c r="J30" s="85">
        <f>SUM($C29:J29)</f>
        <v>0</v>
      </c>
      <c r="K30" s="85">
        <f>SUM($C29:K29)</f>
        <v>0</v>
      </c>
      <c r="L30" s="85">
        <f>SUM($C29:L29)</f>
        <v>0</v>
      </c>
      <c r="M30" s="85">
        <f>SUM($C29:M29)</f>
        <v>0</v>
      </c>
    </row>
    <row r="31" spans="1:13" s="9" customFormat="1">
      <c r="A31" s="34"/>
      <c r="B31" s="37"/>
      <c r="C31" s="32"/>
      <c r="D31" s="32"/>
      <c r="E31" s="32"/>
      <c r="F31" s="32"/>
      <c r="G31" s="32"/>
      <c r="H31" s="32"/>
      <c r="I31" s="32"/>
      <c r="J31" s="32"/>
      <c r="K31" s="32"/>
      <c r="L31" s="32"/>
      <c r="M31" s="32"/>
    </row>
    <row r="32" spans="1:13">
      <c r="A32" s="1" t="s">
        <v>64</v>
      </c>
      <c r="C32" s="33"/>
      <c r="D32" s="33"/>
      <c r="E32" s="33"/>
      <c r="F32" s="33"/>
      <c r="G32" s="33"/>
      <c r="H32" s="33"/>
      <c r="I32" s="33"/>
      <c r="J32" s="33"/>
      <c r="K32" s="33"/>
      <c r="L32" s="33"/>
      <c r="M32" s="33"/>
    </row>
    <row r="33" spans="1:14">
      <c r="A33" s="3" t="s">
        <v>74</v>
      </c>
      <c r="C33" s="102"/>
      <c r="D33" s="102"/>
      <c r="E33" s="102"/>
      <c r="F33" s="102"/>
      <c r="G33" s="102"/>
      <c r="H33" s="102"/>
      <c r="I33" s="102"/>
      <c r="J33" s="102"/>
      <c r="K33" s="102"/>
      <c r="L33" s="102"/>
      <c r="M33" s="102"/>
    </row>
    <row r="34" spans="1:14">
      <c r="A34" s="3" t="s">
        <v>75</v>
      </c>
      <c r="C34" s="103"/>
      <c r="D34" s="103"/>
      <c r="E34" s="103"/>
      <c r="F34" s="103"/>
      <c r="G34" s="103"/>
      <c r="H34" s="103"/>
      <c r="I34" s="103"/>
      <c r="J34" s="103"/>
      <c r="K34" s="103"/>
      <c r="L34" s="103"/>
      <c r="M34" s="103"/>
    </row>
    <row r="35" spans="1:14" s="1" customFormat="1">
      <c r="A35" s="31" t="s">
        <v>96</v>
      </c>
      <c r="B35" s="45"/>
      <c r="C35" s="85">
        <f>SUM($C33:C34)</f>
        <v>0</v>
      </c>
      <c r="D35" s="85">
        <f>SUM($C33:D34)</f>
        <v>0</v>
      </c>
      <c r="E35" s="85">
        <f>SUM($C33:E34)</f>
        <v>0</v>
      </c>
      <c r="F35" s="85">
        <f>SUM($C33:F34)</f>
        <v>0</v>
      </c>
      <c r="G35" s="85">
        <f>SUM($C33:G34)</f>
        <v>0</v>
      </c>
      <c r="H35" s="85">
        <f>SUM($C33:H34)</f>
        <v>0</v>
      </c>
      <c r="I35" s="85">
        <f>SUM($C33:I34)</f>
        <v>0</v>
      </c>
      <c r="J35" s="85">
        <f>SUM($C33:J34)</f>
        <v>0</v>
      </c>
      <c r="K35" s="85">
        <f>SUM($C33:K34)</f>
        <v>0</v>
      </c>
      <c r="L35" s="85">
        <f>SUM($C33:L34)</f>
        <v>0</v>
      </c>
      <c r="M35" s="85">
        <f>SUM($C33:M34)</f>
        <v>0</v>
      </c>
      <c r="N35" s="8"/>
    </row>
    <row r="36" spans="1:14">
      <c r="A36" s="3"/>
      <c r="C36" s="32"/>
      <c r="D36" s="32"/>
      <c r="E36" s="32"/>
      <c r="F36" s="32"/>
      <c r="G36" s="32"/>
      <c r="H36" s="32"/>
      <c r="I36" s="32"/>
      <c r="J36" s="32"/>
      <c r="K36" s="32"/>
      <c r="L36" s="32"/>
      <c r="M36" s="32"/>
      <c r="N36" s="9"/>
    </row>
    <row r="37" spans="1:14">
      <c r="A37" s="1" t="s">
        <v>0</v>
      </c>
      <c r="C37" s="33"/>
      <c r="D37" s="33"/>
      <c r="E37" s="33"/>
      <c r="F37" s="33"/>
      <c r="G37" s="33"/>
      <c r="H37" s="33"/>
      <c r="I37" s="33"/>
      <c r="J37" s="33"/>
      <c r="K37" s="33"/>
      <c r="L37" s="33"/>
      <c r="M37" s="33"/>
    </row>
    <row r="38" spans="1:14">
      <c r="A38" s="3" t="s">
        <v>74</v>
      </c>
      <c r="C38" s="102"/>
      <c r="D38" s="102"/>
      <c r="E38" s="102"/>
      <c r="F38" s="102"/>
      <c r="G38" s="102"/>
      <c r="H38" s="102"/>
      <c r="I38" s="102"/>
      <c r="J38" s="102"/>
      <c r="K38" s="102"/>
      <c r="L38" s="102"/>
      <c r="M38" s="102"/>
    </row>
    <row r="39" spans="1:14">
      <c r="A39" s="3" t="s">
        <v>75</v>
      </c>
      <c r="C39" s="103"/>
      <c r="D39" s="103"/>
      <c r="E39" s="103"/>
      <c r="F39" s="103"/>
      <c r="G39" s="103"/>
      <c r="H39" s="103"/>
      <c r="I39" s="103"/>
      <c r="J39" s="103"/>
      <c r="K39" s="103"/>
      <c r="L39" s="103"/>
      <c r="M39" s="103"/>
    </row>
    <row r="40" spans="1:14">
      <c r="A40" s="3" t="s">
        <v>22</v>
      </c>
      <c r="C40" s="103"/>
      <c r="D40" s="103"/>
      <c r="E40" s="103"/>
      <c r="F40" s="103"/>
      <c r="G40" s="103"/>
      <c r="H40" s="103"/>
      <c r="I40" s="103"/>
      <c r="J40" s="103"/>
      <c r="K40" s="103"/>
      <c r="L40" s="103"/>
      <c r="M40" s="103"/>
    </row>
    <row r="41" spans="1:14" s="1" customFormat="1">
      <c r="A41" s="31" t="s">
        <v>97</v>
      </c>
      <c r="B41" s="45"/>
      <c r="C41" s="85">
        <f>SUM($C38:C40)</f>
        <v>0</v>
      </c>
      <c r="D41" s="85">
        <f>SUM($C38:D40)</f>
        <v>0</v>
      </c>
      <c r="E41" s="85">
        <f>SUM($C38:E40)</f>
        <v>0</v>
      </c>
      <c r="F41" s="85">
        <f>SUM($C38:F40)</f>
        <v>0</v>
      </c>
      <c r="G41" s="85">
        <f>SUM($C38:G40)</f>
        <v>0</v>
      </c>
      <c r="H41" s="85">
        <f>SUM($C38:H40)</f>
        <v>0</v>
      </c>
      <c r="I41" s="85">
        <f>SUM($C38:I40)</f>
        <v>0</v>
      </c>
      <c r="J41" s="85">
        <f>SUM($C38:J40)</f>
        <v>0</v>
      </c>
      <c r="K41" s="85">
        <f>SUM($C38:K40)</f>
        <v>0</v>
      </c>
      <c r="L41" s="85">
        <f>SUM($C38:L40)</f>
        <v>0</v>
      </c>
      <c r="M41" s="85">
        <f>SUM($C38:M40)</f>
        <v>0</v>
      </c>
    </row>
    <row r="42" spans="1:14">
      <c r="A42" s="3"/>
      <c r="C42" s="10"/>
      <c r="D42" s="10"/>
      <c r="E42" s="10"/>
      <c r="F42" s="10"/>
      <c r="G42" s="10"/>
      <c r="H42" s="10"/>
      <c r="I42" s="10"/>
      <c r="J42" s="10"/>
      <c r="K42" s="10"/>
      <c r="L42" s="10"/>
      <c r="M42" s="10"/>
    </row>
    <row r="43" spans="1:14">
      <c r="A43" s="1" t="s">
        <v>32</v>
      </c>
      <c r="C43" s="6"/>
      <c r="D43" s="6"/>
      <c r="E43" s="6"/>
      <c r="F43" s="6"/>
      <c r="G43" s="6"/>
      <c r="H43" s="6"/>
      <c r="I43" s="6"/>
      <c r="J43" s="6"/>
      <c r="K43" s="6"/>
      <c r="L43" s="6"/>
      <c r="M43" s="6"/>
    </row>
    <row r="44" spans="1:14">
      <c r="A44" s="3" t="s">
        <v>9</v>
      </c>
      <c r="C44" s="102"/>
      <c r="D44" s="102"/>
      <c r="E44" s="102"/>
      <c r="F44" s="102"/>
      <c r="G44" s="102"/>
      <c r="H44" s="102"/>
      <c r="I44" s="102"/>
      <c r="J44" s="102"/>
      <c r="K44" s="102"/>
      <c r="L44" s="102"/>
      <c r="M44" s="102"/>
    </row>
    <row r="45" spans="1:14">
      <c r="A45" s="3" t="s">
        <v>10</v>
      </c>
      <c r="C45" s="103"/>
      <c r="D45" s="103"/>
      <c r="E45" s="103"/>
      <c r="F45" s="103"/>
      <c r="G45" s="103"/>
      <c r="H45" s="103"/>
      <c r="I45" s="103"/>
      <c r="J45" s="103"/>
      <c r="K45" s="103"/>
      <c r="L45" s="103"/>
      <c r="M45" s="103"/>
    </row>
    <row r="46" spans="1:14" s="1" customFormat="1">
      <c r="A46" s="31" t="s">
        <v>98</v>
      </c>
      <c r="B46" s="45"/>
      <c r="C46" s="85">
        <f>SUM($C44:C45)</f>
        <v>0</v>
      </c>
      <c r="D46" s="85">
        <f>SUM($C44:D45)</f>
        <v>0</v>
      </c>
      <c r="E46" s="85">
        <f>SUM($C44:E45)</f>
        <v>0</v>
      </c>
      <c r="F46" s="85">
        <f>SUM($C44:F45)</f>
        <v>0</v>
      </c>
      <c r="G46" s="85">
        <f>SUM($C44:G45)</f>
        <v>0</v>
      </c>
      <c r="H46" s="85">
        <f>SUM($C44:H45)</f>
        <v>0</v>
      </c>
      <c r="I46" s="85">
        <f>SUM($C44:I45)</f>
        <v>0</v>
      </c>
      <c r="J46" s="85">
        <f>SUM($C44:J45)</f>
        <v>0</v>
      </c>
      <c r="K46" s="85">
        <f>SUM($C44:K45)</f>
        <v>0</v>
      </c>
      <c r="L46" s="85">
        <f>SUM($C44:L45)</f>
        <v>0</v>
      </c>
      <c r="M46" s="85">
        <f>SUM($C44:M45)</f>
        <v>0</v>
      </c>
    </row>
    <row r="47" spans="1:14">
      <c r="A47" s="3"/>
      <c r="C47" s="10"/>
      <c r="D47" s="10"/>
      <c r="E47" s="10"/>
      <c r="F47" s="10"/>
      <c r="G47" s="10"/>
      <c r="H47" s="10"/>
      <c r="I47" s="10"/>
      <c r="J47" s="10"/>
      <c r="K47" s="10"/>
      <c r="L47" s="10"/>
      <c r="M47" s="10"/>
    </row>
    <row r="48" spans="1:14">
      <c r="A48" s="1" t="s">
        <v>125</v>
      </c>
    </row>
    <row r="49" spans="1:14">
      <c r="A49" s="28" t="str">
        <f>"AR Adjustment (Current Days = "&amp;ROUND((Cash!E7/('Proforma P&amp;L'!E14*12))*365,1)&amp;")"</f>
        <v>AR Adjustment (Current Days = 45.6)</v>
      </c>
    </row>
    <row r="50" spans="1:14" hidden="1">
      <c r="A50" s="29" t="s">
        <v>85</v>
      </c>
      <c r="B50" s="37" t="s">
        <v>14</v>
      </c>
      <c r="C50" s="30">
        <f>(Cash!E7/('Proforma P&amp;L'!E23*12))*365</f>
        <v>58.49358974358973</v>
      </c>
      <c r="D50" s="30">
        <f>(Cash!F7/('Proforma P&amp;L'!F23*12))*365</f>
        <v>65.805288461538467</v>
      </c>
      <c r="E50" s="30">
        <f>(Cash!G7/('Proforma P&amp;L'!G23*12))*365</f>
        <v>60.480975253702532</v>
      </c>
      <c r="F50" s="30">
        <f>(Cash!H7/('Proforma P&amp;L'!H23*12))*365</f>
        <v>71.167200854700852</v>
      </c>
      <c r="G50" s="30">
        <f>(Cash!I7/('Proforma P&amp;L'!I23*12))*365</f>
        <v>79.848392348392338</v>
      </c>
      <c r="H50" s="30">
        <f>(Cash!J7/('Proforma P&amp;L'!J23*12))*365</f>
        <v>56.721056721056719</v>
      </c>
      <c r="I50" s="30">
        <f>(Cash!K7/('Proforma P&amp;L'!K23*12))*365</f>
        <v>49.697394619269623</v>
      </c>
      <c r="J50" s="30">
        <f>(Cash!L7/('Proforma P&amp;L'!L23*12))*365</f>
        <v>51.429146537842193</v>
      </c>
      <c r="K50" s="30">
        <f>(Cash!M7/('Proforma P&amp;L'!M23*12))*365</f>
        <v>52.954424048174054</v>
      </c>
      <c r="L50" s="30">
        <f>(Cash!N7/('Proforma P&amp;L'!N23*12))*365</f>
        <v>56.970899470899475</v>
      </c>
      <c r="M50" s="30">
        <f>(Cash!O7/('Proforma P&amp;L'!O23*12))*365</f>
        <v>55.876993376993383</v>
      </c>
    </row>
    <row r="51" spans="1:14">
      <c r="A51" s="29" t="s">
        <v>139</v>
      </c>
      <c r="C51" s="69"/>
      <c r="D51" s="69"/>
      <c r="E51" s="69"/>
      <c r="F51" s="69"/>
      <c r="G51" s="69"/>
      <c r="H51" s="69"/>
      <c r="I51" s="69"/>
      <c r="J51" s="69"/>
      <c r="K51" s="69"/>
      <c r="L51" s="69"/>
      <c r="M51" s="69"/>
    </row>
    <row r="52" spans="1:14" s="1" customFormat="1">
      <c r="A52" s="46" t="s">
        <v>83</v>
      </c>
      <c r="B52" s="45"/>
      <c r="C52" s="85">
        <f>(C51/C50)*Cash!E7*-1</f>
        <v>0</v>
      </c>
      <c r="D52" s="85">
        <f>(D51/D50)*Cash!F7*-1</f>
        <v>0</v>
      </c>
      <c r="E52" s="85">
        <f>(E51/E50)*Cash!G7*-1</f>
        <v>0</v>
      </c>
      <c r="F52" s="85">
        <f>(F51/F50)*Cash!H7*-1</f>
        <v>0</v>
      </c>
      <c r="G52" s="85">
        <f>(G51/G50)*Cash!I7*-1</f>
        <v>0</v>
      </c>
      <c r="H52" s="85">
        <f>(H51/H50)*Cash!J7*-1</f>
        <v>0</v>
      </c>
      <c r="I52" s="85">
        <f>(I51/I50)*Cash!K7*-1</f>
        <v>0</v>
      </c>
      <c r="J52" s="85">
        <f>(J51/J50)*Cash!L7*-1</f>
        <v>0</v>
      </c>
      <c r="K52" s="85">
        <f>(K51/K50)*Cash!M7*-1</f>
        <v>0</v>
      </c>
      <c r="L52" s="85">
        <f>(L51/L50)*Cash!N7*-1</f>
        <v>0</v>
      </c>
      <c r="M52" s="85">
        <f>(M51/M50)*Cash!O7*-1</f>
        <v>0</v>
      </c>
      <c r="N52" s="16"/>
    </row>
    <row r="53" spans="1:14">
      <c r="A53" s="29"/>
      <c r="C53" s="6"/>
      <c r="D53" s="6"/>
      <c r="E53" s="6"/>
      <c r="F53" s="6"/>
      <c r="G53" s="6"/>
      <c r="H53" s="6"/>
      <c r="I53" s="6"/>
      <c r="J53" s="6"/>
      <c r="K53" s="6"/>
      <c r="L53" s="6"/>
      <c r="M53" s="6"/>
    </row>
    <row r="54" spans="1:14">
      <c r="A54" s="28" t="str">
        <f>"AP Adjustment (Current Days = "&amp;ROUND((Cash!E11/('Proforma P&amp;L'!E23*12))*365,1)&amp;")"</f>
        <v>AP Adjustment (Current Days = 24.8)</v>
      </c>
      <c r="C54" s="57" t="s">
        <v>14</v>
      </c>
      <c r="D54" s="30" t="s">
        <v>14</v>
      </c>
      <c r="E54" s="30"/>
      <c r="F54" s="30"/>
      <c r="G54" s="30"/>
      <c r="H54" s="30"/>
      <c r="I54" s="30"/>
      <c r="J54" s="30"/>
      <c r="K54" s="30"/>
      <c r="L54" s="30"/>
      <c r="M54" s="30"/>
    </row>
    <row r="55" spans="1:14" hidden="1">
      <c r="A55" s="29" t="s">
        <v>149</v>
      </c>
      <c r="C55" s="30">
        <f>(Cash!E11/('Proforma P&amp;L'!E23*12))*365</f>
        <v>24.815462315462309</v>
      </c>
      <c r="D55" s="30">
        <f>(Cash!F11/('Proforma P&amp;L'!F23*12))*365</f>
        <v>29.099810979618674</v>
      </c>
      <c r="E55" s="30">
        <f>(Cash!G11/('Proforma P&amp;L'!G23*12))*365</f>
        <v>21.997754576425901</v>
      </c>
      <c r="F55" s="30">
        <f>(Cash!H11/('Proforma P&amp;L'!H23*12))*365</f>
        <v>19.08309052059052</v>
      </c>
      <c r="G55" s="30">
        <f>(Cash!I11/('Proforma P&amp;L'!I23*12))*365</f>
        <v>33.733446041138329</v>
      </c>
      <c r="H55" s="30">
        <f>(Cash!J11/('Proforma P&amp;L'!J23*12))*365</f>
        <v>50.411652171685617</v>
      </c>
      <c r="I55" s="30">
        <f>(Cash!K11/('Proforma P&amp;L'!K23*12))*365</f>
        <v>44.409383218277448</v>
      </c>
      <c r="J55" s="30">
        <f>(Cash!L11/('Proforma P&amp;L'!L23*12))*365</f>
        <v>40.416067736301855</v>
      </c>
      <c r="K55" s="30">
        <f>(Cash!M11/('Proforma P&amp;L'!M23*12))*365</f>
        <v>33.127464634239118</v>
      </c>
      <c r="L55" s="30">
        <f>(Cash!N11/('Proforma P&amp;L'!N23*12))*365</f>
        <v>34.809128158166615</v>
      </c>
      <c r="M55" s="30">
        <f>(Cash!O11/('Proforma P&amp;L'!O23*12))*365</f>
        <v>33.40075522767831</v>
      </c>
    </row>
    <row r="56" spans="1:14">
      <c r="A56" s="29" t="s">
        <v>148</v>
      </c>
      <c r="C56" s="69"/>
      <c r="D56" s="69"/>
      <c r="E56" s="69"/>
      <c r="F56" s="69"/>
      <c r="G56" s="69"/>
      <c r="H56" s="69"/>
      <c r="I56" s="69"/>
      <c r="J56" s="69"/>
      <c r="K56" s="69"/>
      <c r="L56" s="69"/>
      <c r="M56" s="69"/>
    </row>
    <row r="57" spans="1:14" s="1" customFormat="1">
      <c r="A57" s="46" t="s">
        <v>89</v>
      </c>
      <c r="B57" s="45"/>
      <c r="C57" s="85">
        <f>(1-(C55/(C55+C56)))*Cash!E11</f>
        <v>0</v>
      </c>
      <c r="D57" s="85">
        <f>(1-(D55/(D55+D56)))*Cash!F11</f>
        <v>0</v>
      </c>
      <c r="E57" s="85">
        <f>(1-(E55/(E55+E56)))*Cash!G11</f>
        <v>0</v>
      </c>
      <c r="F57" s="85">
        <f>(1-(F55/(F55+F56)))*Cash!H11</f>
        <v>0</v>
      </c>
      <c r="G57" s="85">
        <f>(1-(G55/(G55+G56)))*Cash!I11</f>
        <v>0</v>
      </c>
      <c r="H57" s="85">
        <f>(1-(H55/(H55+H56)))*Cash!J11</f>
        <v>0</v>
      </c>
      <c r="I57" s="85">
        <f>(1-(I55/(I55+I56)))*Cash!K11</f>
        <v>0</v>
      </c>
      <c r="J57" s="85">
        <f>(1-(J55/(J55+J56)))*Cash!L11</f>
        <v>0</v>
      </c>
      <c r="K57" s="85">
        <f>(1-(K55/(K55+K56)))*Cash!M11</f>
        <v>0</v>
      </c>
      <c r="L57" s="85">
        <f>(1-(L55/(L55+L56)))*Cash!N11</f>
        <v>0</v>
      </c>
      <c r="M57" s="85">
        <f>(1-(M55/(M55+M56)))*Cash!O11</f>
        <v>0</v>
      </c>
    </row>
    <row r="58" spans="1:14">
      <c r="A58" s="3"/>
    </row>
    <row r="59" spans="1:14">
      <c r="A59" s="28" t="str">
        <f>"Inventory Adjustment (Current Days = "&amp;ROUND((Cash!E8/('Proforma P&amp;L'!E6/(1+'Proforma P&amp;L'!E26))),1)&amp;")"</f>
        <v>Inventory Adjustment (Current Days = 49.3)</v>
      </c>
      <c r="C59" s="30"/>
    </row>
    <row r="60" spans="1:14" hidden="1">
      <c r="A60" s="29" t="s">
        <v>150</v>
      </c>
      <c r="C60" s="104">
        <f>Cash!E8/('Proforma P&amp;L'!E6/(1+'Proforma P&amp;L'!E26))</f>
        <v>49.28799999999999</v>
      </c>
      <c r="D60" s="104">
        <f>Cash!F8/('Proforma P&amp;L'!F6/(1+'Proforma P&amp;L'!F26))</f>
        <v>60.255800000000001</v>
      </c>
      <c r="E60" s="104">
        <f>Cash!G8/('Proforma P&amp;L'!G6/(1+'Proforma P&amp;L'!G26))</f>
        <v>66.693333333333328</v>
      </c>
      <c r="F60" s="104">
        <f>Cash!H8/('Proforma P&amp;L'!H6/(1+'Proforma P&amp;L'!H26))</f>
        <v>101.62599999999999</v>
      </c>
      <c r="G60" s="104">
        <f>Cash!I8/('Proforma P&amp;L'!I6/(1+'Proforma P&amp;L'!I26))</f>
        <v>204.78919999999997</v>
      </c>
      <c r="H60" s="104">
        <f>Cash!J8/('Proforma P&amp;L'!J6/(1+'Proforma P&amp;L'!J26))</f>
        <v>198.80695652173912</v>
      </c>
      <c r="I60" s="104">
        <f>Cash!K8/('Proforma P&amp;L'!K6/(1+'Proforma P&amp;L'!K26))</f>
        <v>123.464</v>
      </c>
      <c r="J60" s="104">
        <f>Cash!L8/('Proforma P&amp;L'!L6/(1+'Proforma P&amp;L'!L26))</f>
        <v>77.382857142857134</v>
      </c>
      <c r="K60" s="104">
        <f>Cash!M8/('Proforma P&amp;L'!M6/(1+'Proforma P&amp;L'!M26))</f>
        <v>62.30318181818182</v>
      </c>
      <c r="L60" s="104">
        <f>Cash!N8/('Proforma P&amp;L'!N6/(1+'Proforma P&amp;L'!N26))</f>
        <v>54.485199999999992</v>
      </c>
      <c r="M60" s="104">
        <f>Cash!O8/('Proforma P&amp;L'!O6/(1+'Proforma P&amp;L'!O26))</f>
        <v>48.567619047619047</v>
      </c>
    </row>
    <row r="61" spans="1:14">
      <c r="A61" s="29" t="s">
        <v>151</v>
      </c>
      <c r="C61" s="69"/>
      <c r="D61" s="69"/>
      <c r="E61" s="69"/>
      <c r="F61" s="69"/>
      <c r="G61" s="69"/>
      <c r="H61" s="69"/>
      <c r="I61" s="69"/>
      <c r="J61" s="69"/>
      <c r="K61" s="69"/>
      <c r="L61" s="69"/>
      <c r="M61" s="69"/>
    </row>
    <row r="62" spans="1:14" s="1" customFormat="1">
      <c r="A62" s="46" t="s">
        <v>90</v>
      </c>
      <c r="B62" s="45"/>
      <c r="C62" s="85">
        <f>(Cash!E8/C60*C61)*-1</f>
        <v>0</v>
      </c>
      <c r="D62" s="85">
        <f>(Cash!F8/D60*D61)*-1</f>
        <v>0</v>
      </c>
      <c r="E62" s="85">
        <f>(Cash!G8/E60*E61)*-1</f>
        <v>0</v>
      </c>
      <c r="F62" s="85">
        <f>(Cash!H8/F60*F61)*-1</f>
        <v>0</v>
      </c>
      <c r="G62" s="85">
        <f>(Cash!I8/G60*G61)*-1</f>
        <v>0</v>
      </c>
      <c r="H62" s="85">
        <f>(Cash!J8/H60*H61)*-1</f>
        <v>0</v>
      </c>
      <c r="I62" s="85">
        <f>(Cash!K8/I60*I61)*-1</f>
        <v>0</v>
      </c>
      <c r="J62" s="85">
        <f>(Cash!L8/J60*J61)*-1</f>
        <v>0</v>
      </c>
      <c r="K62" s="85">
        <f>(Cash!M8/K60*K61)*-1</f>
        <v>0</v>
      </c>
      <c r="L62" s="85">
        <f>(Cash!N8/L60*L61)*-1</f>
        <v>0</v>
      </c>
      <c r="M62" s="85">
        <f>(Cash!O8/M60*M61)*-1</f>
        <v>0</v>
      </c>
    </row>
    <row r="63" spans="1:14">
      <c r="A63" s="3"/>
    </row>
    <row r="66" spans="3:3">
      <c r="C66" s="6"/>
    </row>
    <row r="85" spans="1:1">
      <c r="A85" s="3"/>
    </row>
    <row r="86" spans="1:1">
      <c r="A86" s="3"/>
    </row>
    <row r="87" spans="1:1">
      <c r="A87" s="3"/>
    </row>
    <row r="88" spans="1:1">
      <c r="A88" s="3"/>
    </row>
    <row r="90" spans="1:1">
      <c r="A90" s="3"/>
    </row>
    <row r="91" spans="1:1">
      <c r="A91" s="3"/>
    </row>
    <row r="92" spans="1:1">
      <c r="A92" s="3"/>
    </row>
    <row r="93" spans="1:1">
      <c r="A93" s="1"/>
    </row>
    <row r="95" spans="1:1">
      <c r="A95" s="1"/>
    </row>
    <row r="101" spans="1:1">
      <c r="A101" s="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E240-6B04-452F-8308-9F131CBDD77C}">
  <dimension ref="A1:A6"/>
  <sheetViews>
    <sheetView workbookViewId="0">
      <selection activeCell="B18" sqref="B18"/>
    </sheetView>
  </sheetViews>
  <sheetFormatPr defaultRowHeight="14.4"/>
  <cols>
    <col min="1" max="1" width="19.33203125" bestFit="1" customWidth="1"/>
  </cols>
  <sheetData>
    <row r="1" spans="1:1">
      <c r="A1" t="s">
        <v>27</v>
      </c>
    </row>
    <row r="2" spans="1:1">
      <c r="A2" t="s">
        <v>33</v>
      </c>
    </row>
    <row r="3" spans="1:1">
      <c r="A3" t="s">
        <v>34</v>
      </c>
    </row>
    <row r="4" spans="1:1">
      <c r="A4" t="s">
        <v>35</v>
      </c>
    </row>
    <row r="5" spans="1:1">
      <c r="A5" t="s">
        <v>36</v>
      </c>
    </row>
    <row r="6" spans="1:1">
      <c r="A6" t="s">
        <v>37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C95E0BC90297448344DFCEF715C74B" ma:contentTypeVersion="13" ma:contentTypeDescription="Create a new document." ma:contentTypeScope="" ma:versionID="6ac105c5baddc19da88bbed404e7a49c">
  <xsd:schema xmlns:xsd="http://www.w3.org/2001/XMLSchema" xmlns:xs="http://www.w3.org/2001/XMLSchema" xmlns:p="http://schemas.microsoft.com/office/2006/metadata/properties" xmlns:ns3="d5de80a5-7f4e-4056-a285-5cb6bbe9cd32" xmlns:ns4="2f741486-0aa8-4adb-9235-e1a4e3229222" targetNamespace="http://schemas.microsoft.com/office/2006/metadata/properties" ma:root="true" ma:fieldsID="70a512a3881c25d791afdbff248478f5" ns3:_="" ns4:_="">
    <xsd:import namespace="d5de80a5-7f4e-4056-a285-5cb6bbe9cd32"/>
    <xsd:import namespace="2f741486-0aa8-4adb-9235-e1a4e32292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e80a5-7f4e-4056-a285-5cb6bbe9c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741486-0aa8-4adb-9235-e1a4e322922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E35A80-0944-45CB-9056-71F72E5DBC61}">
  <ds:schemaRefs>
    <ds:schemaRef ds:uri="http://schemas.microsoft.com/sharepoint/v3/contenttype/forms"/>
  </ds:schemaRefs>
</ds:datastoreItem>
</file>

<file path=customXml/itemProps2.xml><?xml version="1.0" encoding="utf-8"?>
<ds:datastoreItem xmlns:ds="http://schemas.openxmlformats.org/officeDocument/2006/customXml" ds:itemID="{6045559B-0083-450E-8975-70D42FBF85C1}">
  <ds:schemaRefs>
    <ds:schemaRef ds:uri="http://schemas.microsoft.com/office/2006/documentManagement/types"/>
    <ds:schemaRef ds:uri="d5de80a5-7f4e-4056-a285-5cb6bbe9cd32"/>
    <ds:schemaRef ds:uri="http://purl.org/dc/dcmitype/"/>
    <ds:schemaRef ds:uri="http://schemas.openxmlformats.org/package/2006/metadata/core-properties"/>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2f741486-0aa8-4adb-9235-e1a4e3229222"/>
  </ds:schemaRefs>
</ds:datastoreItem>
</file>

<file path=customXml/itemProps3.xml><?xml version="1.0" encoding="utf-8"?>
<ds:datastoreItem xmlns:ds="http://schemas.openxmlformats.org/officeDocument/2006/customXml" ds:itemID="{629719A9-9559-4424-92CB-43762A792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e80a5-7f4e-4056-a285-5cb6bbe9cd32"/>
    <ds:schemaRef ds:uri="2f741486-0aa8-4adb-9235-e1a4e3229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Historical P&amp;L</vt:lpstr>
      <vt:lpstr>FTE</vt:lpstr>
      <vt:lpstr>Proforma P&amp;L</vt:lpstr>
      <vt:lpstr>Cash</vt:lpstr>
      <vt:lpstr>Modeling</vt:lpstr>
      <vt:lpstr>Cost Type Table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memerson</dc:creator>
  <cp:lastModifiedBy>Lindsay Konzak</cp:lastModifiedBy>
  <cp:lastPrinted>2020-03-21T03:41:54Z</cp:lastPrinted>
  <dcterms:created xsi:type="dcterms:W3CDTF">2020-03-16T18:14:17Z</dcterms:created>
  <dcterms:modified xsi:type="dcterms:W3CDTF">2020-04-01T15:15:00Z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0x010100BCC95E0BC90297448344DFCEF715C74B</vt:lpwstr>
  </property>
</Properties>
</file>